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engrove/Desktop/"/>
    </mc:Choice>
  </mc:AlternateContent>
  <xr:revisionPtr revIDLastSave="0" documentId="13_ncr:1_{C7223FB6-18B4-B246-A6D2-ED56CAF78C89}" xr6:coauthVersionLast="47" xr6:coauthVersionMax="47" xr10:uidLastSave="{00000000-0000-0000-0000-000000000000}"/>
  <bookViews>
    <workbookView xWindow="31980" yWindow="5780" windowWidth="20740" windowHeight="11160" xr2:uid="{00000000-000D-0000-FFFF-FFFF00000000}"/>
  </bookViews>
  <sheets>
    <sheet name="Profit and Loss Qtrly" sheetId="6" r:id="rId1"/>
    <sheet name="Profit and Loss Comparison" sheetId="4" r:id="rId2"/>
    <sheet name="Statement of Cash Flows" sheetId="1" r:id="rId3"/>
    <sheet name="Balance Sheet" sheetId="7" r:id="rId4"/>
    <sheet name="Balance Sheet Comparison " sheetId="8" r:id="rId5"/>
    <sheet name="A R Aging Summary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G6" i="9" s="1"/>
  <c r="F7" i="9"/>
  <c r="G7" i="9" s="1"/>
  <c r="F8" i="9"/>
  <c r="G8" i="9" s="1"/>
  <c r="B9" i="9"/>
  <c r="B12" i="9" s="1"/>
  <c r="F10" i="9"/>
  <c r="G10" i="9"/>
  <c r="B11" i="9"/>
  <c r="G11" i="9" s="1"/>
  <c r="C12" i="9"/>
  <c r="D12" i="9"/>
  <c r="E12" i="9"/>
  <c r="B10" i="8"/>
  <c r="C10" i="8"/>
  <c r="D10" i="8" s="1"/>
  <c r="B11" i="8"/>
  <c r="C11" i="8"/>
  <c r="B12" i="8"/>
  <c r="C12" i="8"/>
  <c r="B15" i="8"/>
  <c r="D15" i="8" s="1"/>
  <c r="C15" i="8"/>
  <c r="C17" i="8" s="1"/>
  <c r="B16" i="8"/>
  <c r="C16" i="8"/>
  <c r="B24" i="8"/>
  <c r="C24" i="8"/>
  <c r="B25" i="8"/>
  <c r="D25" i="8" s="1"/>
  <c r="C25" i="8"/>
  <c r="B26" i="8"/>
  <c r="D26" i="8" s="1"/>
  <c r="C26" i="8"/>
  <c r="B30" i="8"/>
  <c r="B31" i="8" s="1"/>
  <c r="D30" i="8"/>
  <c r="C31" i="8"/>
  <c r="B35" i="8"/>
  <c r="B37" i="8" s="1"/>
  <c r="D37" i="8" s="1"/>
  <c r="C35" i="8"/>
  <c r="C37" i="8" s="1"/>
  <c r="D35" i="8"/>
  <c r="B36" i="8"/>
  <c r="D36" i="8" s="1"/>
  <c r="C36" i="8"/>
  <c r="B9" i="7"/>
  <c r="B10" i="7"/>
  <c r="B11" i="7"/>
  <c r="B12" i="7"/>
  <c r="B14" i="7"/>
  <c r="B15" i="7" s="1"/>
  <c r="B22" i="7"/>
  <c r="B23" i="7"/>
  <c r="B24" i="7"/>
  <c r="B25" i="7"/>
  <c r="B26" i="7" s="1"/>
  <c r="B28" i="7"/>
  <c r="B29" i="7"/>
  <c r="B33" i="7"/>
  <c r="B35" i="7" s="1"/>
  <c r="B34" i="7"/>
  <c r="B8" i="6"/>
  <c r="B9" i="6"/>
  <c r="B10" i="6"/>
  <c r="B11" i="6"/>
  <c r="B13" i="6"/>
  <c r="B15" i="6" s="1"/>
  <c r="B14" i="6"/>
  <c r="B20" i="6"/>
  <c r="B21" i="6"/>
  <c r="B22" i="6"/>
  <c r="B23" i="6"/>
  <c r="B24" i="6"/>
  <c r="B25" i="6"/>
  <c r="B26" i="6"/>
  <c r="B27" i="6"/>
  <c r="B28" i="6"/>
  <c r="B29" i="6"/>
  <c r="B30" i="6"/>
  <c r="B32" i="6"/>
  <c r="B33" i="6"/>
  <c r="B35" i="6" s="1"/>
  <c r="B34" i="6"/>
  <c r="B36" i="6"/>
  <c r="B37" i="6"/>
  <c r="B38" i="6"/>
  <c r="B39" i="6"/>
  <c r="B40" i="6"/>
  <c r="B41" i="6"/>
  <c r="B42" i="6"/>
  <c r="B43" i="6"/>
  <c r="B44" i="6"/>
  <c r="B47" i="6"/>
  <c r="B48" i="6"/>
  <c r="B49" i="6"/>
  <c r="B52" i="6"/>
  <c r="B54" i="6"/>
  <c r="B55" i="6"/>
  <c r="B56" i="6"/>
  <c r="B57" i="6"/>
  <c r="B58" i="6"/>
  <c r="B59" i="6"/>
  <c r="B60" i="6"/>
  <c r="B61" i="6"/>
  <c r="B62" i="6"/>
  <c r="B63" i="6"/>
  <c r="B64" i="6"/>
  <c r="B66" i="6"/>
  <c r="B67" i="6"/>
  <c r="B68" i="6"/>
  <c r="B69" i="6"/>
  <c r="B71" i="6"/>
  <c r="B72" i="6"/>
  <c r="B74" i="6"/>
  <c r="B76" i="6"/>
  <c r="B78" i="6" s="1"/>
  <c r="B77" i="6"/>
  <c r="B81" i="6"/>
  <c r="B82" i="6"/>
  <c r="B83" i="6"/>
  <c r="B84" i="6"/>
  <c r="B85" i="6"/>
  <c r="B88" i="6"/>
  <c r="B89" i="6"/>
  <c r="B90" i="6"/>
  <c r="B91" i="6"/>
  <c r="B92" i="6"/>
  <c r="B97" i="6"/>
  <c r="B98" i="6"/>
  <c r="B99" i="6"/>
  <c r="B101" i="6"/>
  <c r="B103" i="6" s="1"/>
  <c r="B104" i="6" s="1"/>
  <c r="B102" i="6"/>
  <c r="D8" i="4"/>
  <c r="B9" i="4"/>
  <c r="C9" i="4"/>
  <c r="D9" i="4"/>
  <c r="B10" i="4"/>
  <c r="C10" i="4"/>
  <c r="C12" i="4" s="1"/>
  <c r="B11" i="4"/>
  <c r="D11" i="4" s="1"/>
  <c r="D13" i="4"/>
  <c r="B14" i="4"/>
  <c r="C14" i="4"/>
  <c r="D14" i="4"/>
  <c r="B15" i="4"/>
  <c r="C15" i="4"/>
  <c r="D15" i="4"/>
  <c r="B16" i="4"/>
  <c r="D20" i="4"/>
  <c r="D21" i="4"/>
  <c r="C22" i="4"/>
  <c r="D22" i="4"/>
  <c r="B23" i="4"/>
  <c r="C23" i="4"/>
  <c r="C24" i="4" s="1"/>
  <c r="B24" i="4"/>
  <c r="D24" i="4" s="1"/>
  <c r="D25" i="4"/>
  <c r="C26" i="4"/>
  <c r="D26" i="4" s="1"/>
  <c r="B27" i="4"/>
  <c r="D27" i="4" s="1"/>
  <c r="B28" i="4"/>
  <c r="C28" i="4"/>
  <c r="C29" i="4"/>
  <c r="D29" i="4"/>
  <c r="B30" i="4"/>
  <c r="C30" i="4"/>
  <c r="B31" i="4"/>
  <c r="C31" i="4"/>
  <c r="B32" i="4"/>
  <c r="D32" i="4"/>
  <c r="B33" i="4"/>
  <c r="D33" i="4"/>
  <c r="B34" i="4"/>
  <c r="D34" i="4" s="1"/>
  <c r="B35" i="4"/>
  <c r="D35" i="4"/>
  <c r="B36" i="4"/>
  <c r="C36" i="4"/>
  <c r="B37" i="4"/>
  <c r="D37" i="4" s="1"/>
  <c r="B38" i="4"/>
  <c r="C38" i="4"/>
  <c r="D39" i="4"/>
  <c r="B40" i="4"/>
  <c r="D40" i="4" s="1"/>
  <c r="B41" i="4"/>
  <c r="D41" i="4" s="1"/>
  <c r="B42" i="4"/>
  <c r="D42" i="4" s="1"/>
  <c r="C43" i="4"/>
  <c r="B44" i="4"/>
  <c r="D44" i="4"/>
  <c r="B45" i="4"/>
  <c r="D45" i="4" s="1"/>
  <c r="C46" i="4"/>
  <c r="D46" i="4"/>
  <c r="B47" i="4"/>
  <c r="D47" i="4"/>
  <c r="B48" i="4"/>
  <c r="C48" i="4"/>
  <c r="D48" i="4" s="1"/>
  <c r="B49" i="4"/>
  <c r="D49" i="4" s="1"/>
  <c r="C50" i="4"/>
  <c r="D50" i="4" s="1"/>
  <c r="B51" i="4"/>
  <c r="D51" i="4" s="1"/>
  <c r="B52" i="4"/>
  <c r="C52" i="4"/>
  <c r="D52" i="4"/>
  <c r="B53" i="4"/>
  <c r="C53" i="4"/>
  <c r="D53" i="4"/>
  <c r="B54" i="4"/>
  <c r="D54" i="4" s="1"/>
  <c r="C55" i="4"/>
  <c r="D55" i="4"/>
  <c r="D57" i="4"/>
  <c r="B58" i="4"/>
  <c r="C58" i="4"/>
  <c r="B59" i="4"/>
  <c r="D59" i="4"/>
  <c r="B60" i="4"/>
  <c r="D60" i="4" s="1"/>
  <c r="C60" i="4"/>
  <c r="D62" i="4"/>
  <c r="B63" i="4"/>
  <c r="C63" i="4"/>
  <c r="C64" i="4"/>
  <c r="D64" i="4" s="1"/>
  <c r="C65" i="4"/>
  <c r="D65" i="4"/>
  <c r="B66" i="4"/>
  <c r="C66" i="4"/>
  <c r="B67" i="4"/>
  <c r="C67" i="4"/>
  <c r="D67" i="4"/>
  <c r="B68" i="4"/>
  <c r="D68" i="4" s="1"/>
  <c r="C68" i="4"/>
  <c r="B69" i="4"/>
  <c r="C69" i="4"/>
  <c r="B70" i="4"/>
  <c r="D70" i="4"/>
  <c r="B71" i="4"/>
  <c r="D71" i="4" s="1"/>
  <c r="B72" i="4"/>
  <c r="C72" i="4"/>
  <c r="B73" i="4"/>
  <c r="C73" i="4"/>
  <c r="D73" i="4"/>
  <c r="B74" i="4"/>
  <c r="D74" i="4" s="1"/>
  <c r="C74" i="4"/>
  <c r="B75" i="4"/>
  <c r="C75" i="4"/>
  <c r="B76" i="4"/>
  <c r="D76" i="4"/>
  <c r="B78" i="4"/>
  <c r="C78" i="4"/>
  <c r="B79" i="4"/>
  <c r="D79" i="4" s="1"/>
  <c r="C79" i="4"/>
  <c r="B80" i="4"/>
  <c r="C80" i="4"/>
  <c r="D80" i="4"/>
  <c r="B81" i="4"/>
  <c r="C81" i="4"/>
  <c r="D81" i="4"/>
  <c r="C82" i="4"/>
  <c r="D82" i="4" s="1"/>
  <c r="B83" i="4"/>
  <c r="D83" i="4" s="1"/>
  <c r="C83" i="4"/>
  <c r="C84" i="4"/>
  <c r="D84" i="4" s="1"/>
  <c r="B85" i="4"/>
  <c r="C85" i="4"/>
  <c r="B86" i="4"/>
  <c r="B87" i="4"/>
  <c r="D87" i="4" s="1"/>
  <c r="C87" i="4"/>
  <c r="C88" i="4"/>
  <c r="D88" i="4" s="1"/>
  <c r="B89" i="4"/>
  <c r="D89" i="4"/>
  <c r="B90" i="4"/>
  <c r="C90" i="4"/>
  <c r="C91" i="4"/>
  <c r="D93" i="4"/>
  <c r="B94" i="4"/>
  <c r="C94" i="4"/>
  <c r="D94" i="4"/>
  <c r="B95" i="4"/>
  <c r="C95" i="4"/>
  <c r="D95" i="4"/>
  <c r="C96" i="4"/>
  <c r="D96" i="4" s="1"/>
  <c r="B97" i="4"/>
  <c r="D97" i="4" s="1"/>
  <c r="C97" i="4"/>
  <c r="B98" i="4"/>
  <c r="C98" i="4"/>
  <c r="D98" i="4"/>
  <c r="B99" i="4"/>
  <c r="C99" i="4"/>
  <c r="D101" i="4"/>
  <c r="C102" i="4"/>
  <c r="D102" i="4"/>
  <c r="B103" i="4"/>
  <c r="C103" i="4"/>
  <c r="D103" i="4"/>
  <c r="B104" i="4"/>
  <c r="D104" i="4" s="1"/>
  <c r="C105" i="4"/>
  <c r="D105" i="4" s="1"/>
  <c r="B106" i="4"/>
  <c r="C106" i="4"/>
  <c r="C107" i="4"/>
  <c r="D107" i="4"/>
  <c r="B108" i="4"/>
  <c r="D108" i="4" s="1"/>
  <c r="C108" i="4"/>
  <c r="C109" i="4"/>
  <c r="D109" i="4" s="1"/>
  <c r="B110" i="4"/>
  <c r="C110" i="4"/>
  <c r="D110" i="4"/>
  <c r="C111" i="4"/>
  <c r="D111" i="4"/>
  <c r="C112" i="4"/>
  <c r="B116" i="4"/>
  <c r="B118" i="4" s="1"/>
  <c r="C116" i="4"/>
  <c r="B117" i="4"/>
  <c r="D117" i="4"/>
  <c r="C118" i="4"/>
  <c r="B120" i="4"/>
  <c r="D120" i="4" s="1"/>
  <c r="B121" i="4"/>
  <c r="B122" i="4" s="1"/>
  <c r="B124" i="4" s="1"/>
  <c r="D124" i="4" s="1"/>
  <c r="D121" i="4"/>
  <c r="C122" i="4"/>
  <c r="C123" i="4"/>
  <c r="C124" i="4" s="1"/>
  <c r="D123" i="4"/>
  <c r="B18" i="1"/>
  <c r="B14" i="1"/>
  <c r="B13" i="1"/>
  <c r="B12" i="1"/>
  <c r="B11" i="1"/>
  <c r="B10" i="1"/>
  <c r="B9" i="1"/>
  <c r="B7" i="1"/>
  <c r="F12" i="9" l="1"/>
  <c r="G9" i="9"/>
  <c r="G12" i="9"/>
  <c r="B16" i="7"/>
  <c r="B17" i="7" s="1"/>
  <c r="D38" i="4"/>
  <c r="D90" i="4"/>
  <c r="D78" i="4"/>
  <c r="D63" i="4"/>
  <c r="D23" i="4"/>
  <c r="D10" i="4"/>
  <c r="B73" i="6"/>
  <c r="B30" i="7"/>
  <c r="B31" i="7" s="1"/>
  <c r="B36" i="7" s="1"/>
  <c r="D85" i="4"/>
  <c r="C77" i="4"/>
  <c r="C92" i="4" s="1"/>
  <c r="C113" i="4" s="1"/>
  <c r="C114" i="4" s="1"/>
  <c r="C126" i="4" s="1"/>
  <c r="D58" i="4"/>
  <c r="C13" i="8"/>
  <c r="C18" i="8" s="1"/>
  <c r="C19" i="8" s="1"/>
  <c r="B16" i="1"/>
  <c r="B17" i="1" s="1"/>
  <c r="B19" i="1" s="1"/>
  <c r="B77" i="4"/>
  <c r="D77" i="4" s="1"/>
  <c r="D66" i="4"/>
  <c r="B61" i="4"/>
  <c r="D61" i="4" s="1"/>
  <c r="D36" i="4"/>
  <c r="D28" i="4"/>
  <c r="C16" i="4"/>
  <c r="C17" i="4" s="1"/>
  <c r="C18" i="4" s="1"/>
  <c r="B50" i="6"/>
  <c r="B45" i="6"/>
  <c r="B27" i="8"/>
  <c r="D12" i="8"/>
  <c r="C125" i="4"/>
  <c r="D106" i="4"/>
  <c r="B86" i="6"/>
  <c r="D31" i="8"/>
  <c r="D75" i="4"/>
  <c r="D72" i="4"/>
  <c r="C61" i="4"/>
  <c r="D31" i="4"/>
  <c r="B93" i="6"/>
  <c r="D11" i="8"/>
  <c r="B15" i="1"/>
  <c r="C100" i="4"/>
  <c r="D30" i="4"/>
  <c r="D16" i="4"/>
  <c r="B17" i="8"/>
  <c r="D17" i="8" s="1"/>
  <c r="D99" i="4"/>
  <c r="B105" i="6"/>
  <c r="B65" i="6"/>
  <c r="B16" i="6"/>
  <c r="B17" i="6" s="1"/>
  <c r="C27" i="8"/>
  <c r="C28" i="8" s="1"/>
  <c r="C32" i="8" s="1"/>
  <c r="C33" i="8" s="1"/>
  <c r="B28" i="8"/>
  <c r="D27" i="8"/>
  <c r="C38" i="8"/>
  <c r="D24" i="8"/>
  <c r="D16" i="8"/>
  <c r="B13" i="8"/>
  <c r="B125" i="4"/>
  <c r="D125" i="4" s="1"/>
  <c r="D118" i="4"/>
  <c r="B112" i="4"/>
  <c r="D112" i="4" s="1"/>
  <c r="B100" i="4"/>
  <c r="D100" i="4" s="1"/>
  <c r="B91" i="4"/>
  <c r="D91" i="4" s="1"/>
  <c r="C86" i="4"/>
  <c r="D86" i="4" s="1"/>
  <c r="D122" i="4"/>
  <c r="D116" i="4"/>
  <c r="D69" i="4"/>
  <c r="B43" i="4"/>
  <c r="B12" i="4"/>
  <c r="C56" i="4"/>
  <c r="B79" i="6" l="1"/>
  <c r="B94" i="6" s="1"/>
  <c r="B95" i="6" s="1"/>
  <c r="B106" i="6" s="1"/>
  <c r="B18" i="8"/>
  <c r="D13" i="8"/>
  <c r="B32" i="8"/>
  <c r="D28" i="8"/>
  <c r="D43" i="4"/>
  <c r="B56" i="4"/>
  <c r="B92" i="4"/>
  <c r="D92" i="4" s="1"/>
  <c r="D12" i="4"/>
  <c r="B17" i="4"/>
  <c r="D32" i="8" l="1"/>
  <c r="B33" i="8"/>
  <c r="B19" i="8"/>
  <c r="D19" i="8" s="1"/>
  <c r="D18" i="8"/>
  <c r="D56" i="4"/>
  <c r="B113" i="4"/>
  <c r="D113" i="4" s="1"/>
  <c r="D17" i="4"/>
  <c r="B18" i="4"/>
  <c r="D33" i="8" l="1"/>
  <c r="B38" i="8"/>
  <c r="D38" i="8" s="1"/>
  <c r="B114" i="4"/>
  <c r="D18" i="4"/>
  <c r="D114" i="4" l="1"/>
  <c r="B126" i="4"/>
  <c r="D126" i="4" s="1"/>
</calcChain>
</file>

<file path=xl/sharedStrings.xml><?xml version="1.0" encoding="utf-8"?>
<sst xmlns="http://schemas.openxmlformats.org/spreadsheetml/2006/main" count="341" uniqueCount="194">
  <si>
    <t>Total</t>
  </si>
  <si>
    <t>OPERATING ACTIVITIES</t>
  </si>
  <si>
    <t xml:space="preserve">   Net Income</t>
  </si>
  <si>
    <t xml:space="preserve">   Adjustments to reconcile Net Income to Net Cash provided by operations:</t>
  </si>
  <si>
    <t xml:space="preserve">      Accounts Receivable</t>
  </si>
  <si>
    <t xml:space="preserve">      Deposit</t>
  </si>
  <si>
    <t xml:space="preserve">      Accounts Payable</t>
  </si>
  <si>
    <t xml:space="preserve">      Business Visa:Visa - Anna Vickers</t>
  </si>
  <si>
    <t xml:space="preserve">      Business Visa:Visa - Ellen Grove</t>
  </si>
  <si>
    <t xml:space="preserve">      PPP Note (deleted)</t>
  </si>
  <si>
    <t xml:space="preserve">   Total Adjustments to reconcile Net Income to Net Cash provided by operations:</t>
  </si>
  <si>
    <t>Net cash provided by operating activities</t>
  </si>
  <si>
    <t>Net cash increase for period</t>
  </si>
  <si>
    <t>Cash at beginning of period</t>
  </si>
  <si>
    <t>Cash at end of period</t>
  </si>
  <si>
    <t>Monday, Oct 11, 2021 09:46:30 AM GMT-7</t>
  </si>
  <si>
    <t>Agile Alliance</t>
  </si>
  <si>
    <t>Statement of Cash Flows</t>
  </si>
  <si>
    <t>July - September, 2021</t>
  </si>
  <si>
    <t>Monday, Oct 11, 2021 09:44:51 AM GMT-7 - Cash Basis</t>
  </si>
  <si>
    <t>Net Income</t>
  </si>
  <si>
    <t>Net Other Income</t>
  </si>
  <si>
    <t>Total Other Expenses</t>
  </si>
  <si>
    <t xml:space="preserve">   Severance</t>
  </si>
  <si>
    <t xml:space="preserve">   Total Other Expenses</t>
  </si>
  <si>
    <t xml:space="preserve">      Charitable Donation</t>
  </si>
  <si>
    <t xml:space="preserve">   Other Expenses</t>
  </si>
  <si>
    <t>Other Expenses</t>
  </si>
  <si>
    <t>Total Other Income</t>
  </si>
  <si>
    <t xml:space="preserve">   Miscellaneous Income</t>
  </si>
  <si>
    <t xml:space="preserve">   Interest Income</t>
  </si>
  <si>
    <t>Other Income</t>
  </si>
  <si>
    <t>Net Operating Income</t>
  </si>
  <si>
    <t>Total Expenses</t>
  </si>
  <si>
    <t xml:space="preserve">   Total Programs</t>
  </si>
  <si>
    <t xml:space="preserve">      Speaker Reimbursement Program</t>
  </si>
  <si>
    <t xml:space="preserve">      Sharing Stories</t>
  </si>
  <si>
    <t xml:space="preserve">      GrowingEquity Series</t>
  </si>
  <si>
    <t xml:space="preserve">      Emerging Economies</t>
  </si>
  <si>
    <t xml:space="preserve">      Conference Sponsorship Program</t>
  </si>
  <si>
    <t xml:space="preserve">      Community Groups</t>
  </si>
  <si>
    <t xml:space="preserve">      Community Development</t>
  </si>
  <si>
    <t xml:space="preserve">      Agile20Reflect</t>
  </si>
  <si>
    <t xml:space="preserve">      Agile Open</t>
  </si>
  <si>
    <t xml:space="preserve">      ACCWW</t>
  </si>
  <si>
    <t xml:space="preserve">   Programs</t>
  </si>
  <si>
    <t xml:space="preserve">   Total Payroll Expenses</t>
  </si>
  <si>
    <t xml:space="preserve">      Worker's Comp</t>
  </si>
  <si>
    <t xml:space="preserve">      Taxes</t>
  </si>
  <si>
    <t xml:space="preserve">      Salary</t>
  </si>
  <si>
    <t xml:space="preserve">      Retirement Benefits</t>
  </si>
  <si>
    <t xml:space="preserve">      Processing Fees</t>
  </si>
  <si>
    <t xml:space="preserve">      Health Insurance</t>
  </si>
  <si>
    <t xml:space="preserve">   Payroll Expenses</t>
  </si>
  <si>
    <t xml:space="preserve">   Total Operational Expenses</t>
  </si>
  <si>
    <t xml:space="preserve">      Total Website</t>
  </si>
  <si>
    <t xml:space="preserve">         Web Hosting</t>
  </si>
  <si>
    <t xml:space="preserve">         Security</t>
  </si>
  <si>
    <t xml:space="preserve">      Website</t>
  </si>
  <si>
    <t xml:space="preserve">      Software</t>
  </si>
  <si>
    <t xml:space="preserve">      Total Professional Fees</t>
  </si>
  <si>
    <t xml:space="preserve">         Legal Fees</t>
  </si>
  <si>
    <t xml:space="preserve">         Facilitation</t>
  </si>
  <si>
    <t xml:space="preserve">         Accounting</t>
  </si>
  <si>
    <t xml:space="preserve">      Professional Fees</t>
  </si>
  <si>
    <t xml:space="preserve">      Postage and Delivery</t>
  </si>
  <si>
    <t xml:space="preserve">      Miscellaneous Office</t>
  </si>
  <si>
    <t xml:space="preserve">      Membership Communications</t>
  </si>
  <si>
    <t xml:space="preserve">      Marketing</t>
  </si>
  <si>
    <t xml:space="preserve">      Total Contract Labor</t>
  </si>
  <si>
    <t xml:space="preserve">         Website</t>
  </si>
  <si>
    <t xml:space="preserve">         Third Party Events Support</t>
  </si>
  <si>
    <t xml:space="preserve">         Social Media</t>
  </si>
  <si>
    <t xml:space="preserve">         Reg. and Membership Mgmt</t>
  </si>
  <si>
    <t xml:space="preserve">         Miscellaneous General</t>
  </si>
  <si>
    <t xml:space="preserve">         Membership Engagement</t>
  </si>
  <si>
    <t xml:space="preserve">         Membership Communications</t>
  </si>
  <si>
    <t xml:space="preserve">         Management Services</t>
  </si>
  <si>
    <t xml:space="preserve">         Initiative Support</t>
  </si>
  <si>
    <t xml:space="preserve">         Experience Report</t>
  </si>
  <si>
    <t xml:space="preserve">         Community Development</t>
  </si>
  <si>
    <t xml:space="preserve">         Administrative Support</t>
  </si>
  <si>
    <t xml:space="preserve">      Contract Labor</t>
  </si>
  <si>
    <t xml:space="preserve">      Bank Service Charges</t>
  </si>
  <si>
    <t xml:space="preserve">   Operational Expenses</t>
  </si>
  <si>
    <t xml:space="preserve">   Total Merchant Fees</t>
  </si>
  <si>
    <t xml:space="preserve">      Individual Members</t>
  </si>
  <si>
    <t xml:space="preserve">      General</t>
  </si>
  <si>
    <t xml:space="preserve">      Corporate Members</t>
  </si>
  <si>
    <t xml:space="preserve">   Merchant Fees</t>
  </si>
  <si>
    <t xml:space="preserve">   Total Conference Expense</t>
  </si>
  <si>
    <t xml:space="preserve">      Video</t>
  </si>
  <si>
    <t xml:space="preserve">      Travel</t>
  </si>
  <si>
    <t xml:space="preserve">      SWAG</t>
  </si>
  <si>
    <t xml:space="preserve">      Submission System</t>
  </si>
  <si>
    <t xml:space="preserve">      Sponsor Expense</t>
  </si>
  <si>
    <t xml:space="preserve">      Speaker Expenses</t>
  </si>
  <si>
    <t xml:space="preserve">      Social Media</t>
  </si>
  <si>
    <t xml:space="preserve">      Registration</t>
  </si>
  <si>
    <t xml:space="preserve">      Publishing</t>
  </si>
  <si>
    <t xml:space="preserve">      Printing/Reproduction</t>
  </si>
  <si>
    <t xml:space="preserve">      Platform Software</t>
  </si>
  <si>
    <t xml:space="preserve">      Onsite Labor</t>
  </si>
  <si>
    <t xml:space="preserve">      Total Merchant Fees</t>
  </si>
  <si>
    <t xml:space="preserve">         Speakers</t>
  </si>
  <si>
    <t xml:space="preserve">         Research Papers</t>
  </si>
  <si>
    <t xml:space="preserve">         Registrations</t>
  </si>
  <si>
    <t xml:space="preserve">      Merchant Fees</t>
  </si>
  <si>
    <t xml:space="preserve">      Marketing/Promotion</t>
  </si>
  <si>
    <t xml:space="preserve">      Legal</t>
  </si>
  <si>
    <t xml:space="preserve">      Honoraria</t>
  </si>
  <si>
    <t xml:space="preserve">      Food &amp; Beverage</t>
  </si>
  <si>
    <t xml:space="preserve">      Equipment</t>
  </si>
  <si>
    <t xml:space="preserve">      Emails</t>
  </si>
  <si>
    <t xml:space="preserve">      Conference Web-site</t>
  </si>
  <si>
    <t xml:space="preserve">      Conference Planning &amp; Material</t>
  </si>
  <si>
    <t xml:space="preserve">      Conference Planner</t>
  </si>
  <si>
    <t xml:space="preserve">      Conference Banquet</t>
  </si>
  <si>
    <t xml:space="preserve">      Committee Honoraria</t>
  </si>
  <si>
    <t xml:space="preserve">      Canadian Tax</t>
  </si>
  <si>
    <t xml:space="preserve">      AgileAlliance Management</t>
  </si>
  <si>
    <t xml:space="preserve">   Conference Expense</t>
  </si>
  <si>
    <t xml:space="preserve">   Total Board Expenses</t>
  </si>
  <si>
    <t xml:space="preserve">      Total Professional Services</t>
  </si>
  <si>
    <t xml:space="preserve">         Consulting</t>
  </si>
  <si>
    <t xml:space="preserve">      Professional Services</t>
  </si>
  <si>
    <t xml:space="preserve">   Board Expenses</t>
  </si>
  <si>
    <t>Expenses</t>
  </si>
  <si>
    <t>Gross Profit</t>
  </si>
  <si>
    <t>Total Income</t>
  </si>
  <si>
    <t xml:space="preserve">   Total Memberships</t>
  </si>
  <si>
    <t xml:space="preserve">      Individual</t>
  </si>
  <si>
    <t xml:space="preserve">      Corporate</t>
  </si>
  <si>
    <t xml:space="preserve">   Memberships</t>
  </si>
  <si>
    <t xml:space="preserve">   Total Conference Income</t>
  </si>
  <si>
    <t xml:space="preserve">      Sponsorships</t>
  </si>
  <si>
    <t xml:space="preserve">      Research Papers</t>
  </si>
  <si>
    <t xml:space="preserve">      Attendees</t>
  </si>
  <si>
    <t xml:space="preserve">   Conference Income</t>
  </si>
  <si>
    <t>Income</t>
  </si>
  <si>
    <t>Change</t>
  </si>
  <si>
    <t>Jul - Sep, 2020 (PY)</t>
  </si>
  <si>
    <t>Jul - Sep, 2021</t>
  </si>
  <si>
    <t>Profit and Loss Comparison</t>
  </si>
  <si>
    <t>Profit and Loss</t>
  </si>
  <si>
    <t>Monday, Oct 11, 2021 09:40:43 AM GMT-7 - Cash Basis</t>
  </si>
  <si>
    <t>Monday, Oct 11, 2021 09:36:56 AM GMT-7 - Cash Basis</t>
  </si>
  <si>
    <t>TOTAL LIABILITIES AND EQUITY</t>
  </si>
  <si>
    <t xml:space="preserve">   Total Equity</t>
  </si>
  <si>
    <t xml:space="preserve">      Net Income</t>
  </si>
  <si>
    <t xml:space="preserve">      Retained Earnings</t>
  </si>
  <si>
    <t xml:space="preserve">   Equity</t>
  </si>
  <si>
    <t xml:space="preserve">   Total Liabilities</t>
  </si>
  <si>
    <t xml:space="preserve">      Total Current Liabilities</t>
  </si>
  <si>
    <t xml:space="preserve">         Total Other Current Liabilities</t>
  </si>
  <si>
    <t xml:space="preserve">            Conference Rollovers</t>
  </si>
  <si>
    <t xml:space="preserve">         Other Current Liabilities</t>
  </si>
  <si>
    <t xml:space="preserve">         Total Credit Cards</t>
  </si>
  <si>
    <t xml:space="preserve">            Total Business Visa</t>
  </si>
  <si>
    <t xml:space="preserve">               Visa - Ellen Grove</t>
  </si>
  <si>
    <t xml:space="preserve">               Visa - Anna Vickers</t>
  </si>
  <si>
    <t xml:space="preserve">            Business Visa</t>
  </si>
  <si>
    <t xml:space="preserve">         Credit Cards</t>
  </si>
  <si>
    <t xml:space="preserve">      Current Liabilities</t>
  </si>
  <si>
    <t xml:space="preserve">   Liabilities</t>
  </si>
  <si>
    <t>LIABILITIES AND EQUITY</t>
  </si>
  <si>
    <t>TOTAL ASSETS</t>
  </si>
  <si>
    <t xml:space="preserve">   Total Current Assets</t>
  </si>
  <si>
    <t xml:space="preserve">      Total Other Current Assets</t>
  </si>
  <si>
    <t xml:space="preserve">         Inventory Asset</t>
  </si>
  <si>
    <t xml:space="preserve">      Other Current Assets</t>
  </si>
  <si>
    <t xml:space="preserve">      Total Bank Accounts</t>
  </si>
  <si>
    <t xml:space="preserve">         Money Market</t>
  </si>
  <si>
    <t xml:space="preserve">         Everbank CD</t>
  </si>
  <si>
    <t xml:space="preserve">         BB&amp;T Checking</t>
  </si>
  <si>
    <t xml:space="preserve">      Bank Accounts</t>
  </si>
  <si>
    <t xml:space="preserve">   Current Assets</t>
  </si>
  <si>
    <t>ASSETS</t>
  </si>
  <si>
    <t>As of September 30, 2021</t>
  </si>
  <si>
    <t>Balance Sheet</t>
  </si>
  <si>
    <t>Monday, Oct 11, 2021 09:38:10 AM GMT-7 - Cash Basis</t>
  </si>
  <si>
    <t xml:space="preserve">         Deposit</t>
  </si>
  <si>
    <t>As of Sep 30, 2020 (PY)</t>
  </si>
  <si>
    <t>As of Sep 30, 2021</t>
  </si>
  <si>
    <t xml:space="preserve">Balance Sheet Comparison </t>
  </si>
  <si>
    <t>Monday, Oct 11, 2021 09:33:09 AM GMT-7</t>
  </si>
  <si>
    <t>TOTAL</t>
  </si>
  <si>
    <t>A/R</t>
  </si>
  <si>
    <t>91 and over</t>
  </si>
  <si>
    <t>61 - 90</t>
  </si>
  <si>
    <t>31 - 60</t>
  </si>
  <si>
    <t>1 - 30</t>
  </si>
  <si>
    <t>Current</t>
  </si>
  <si>
    <t>A/R Aging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</si>
</sst>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2249-1212-4065-9090-75C415E7740D}">
  <dimension ref="A1:B110"/>
  <sheetViews>
    <sheetView tabSelected="1" workbookViewId="0">
      <selection sqref="A1:B1"/>
    </sheetView>
  </sheetViews>
  <sheetFormatPr baseColWidth="10" defaultColWidth="8.83203125" defaultRowHeight="15" x14ac:dyDescent="0.2"/>
  <cols>
    <col min="1" max="1" width="31.83203125" customWidth="1"/>
    <col min="2" max="2" width="13.6640625" customWidth="1"/>
  </cols>
  <sheetData>
    <row r="1" spans="1:2" ht="18" x14ac:dyDescent="0.2">
      <c r="A1" s="10" t="s">
        <v>16</v>
      </c>
      <c r="B1" s="9"/>
    </row>
    <row r="2" spans="1:2" ht="18" x14ac:dyDescent="0.2">
      <c r="A2" s="10" t="s">
        <v>144</v>
      </c>
      <c r="B2" s="9"/>
    </row>
    <row r="3" spans="1:2" x14ac:dyDescent="0.2">
      <c r="A3" s="11" t="s">
        <v>18</v>
      </c>
      <c r="B3" s="9"/>
    </row>
    <row r="5" spans="1:2" x14ac:dyDescent="0.2">
      <c r="A5" s="1"/>
      <c r="B5" s="2" t="s">
        <v>0</v>
      </c>
    </row>
    <row r="6" spans="1:2" x14ac:dyDescent="0.2">
      <c r="A6" s="3" t="s">
        <v>139</v>
      </c>
      <c r="B6" s="4"/>
    </row>
    <row r="7" spans="1:2" x14ac:dyDescent="0.2">
      <c r="A7" s="3" t="s">
        <v>138</v>
      </c>
      <c r="B7" s="4"/>
    </row>
    <row r="8" spans="1:2" x14ac:dyDescent="0.2">
      <c r="A8" s="3" t="s">
        <v>137</v>
      </c>
      <c r="B8" s="5">
        <f>149466.01</f>
        <v>149466.01</v>
      </c>
    </row>
    <row r="9" spans="1:2" x14ac:dyDescent="0.2">
      <c r="A9" s="3" t="s">
        <v>136</v>
      </c>
      <c r="B9" s="5">
        <f>2261.03</f>
        <v>2261.0300000000002</v>
      </c>
    </row>
    <row r="10" spans="1:2" x14ac:dyDescent="0.2">
      <c r="A10" s="3" t="s">
        <v>135</v>
      </c>
      <c r="B10" s="5">
        <f>65500</f>
        <v>65500</v>
      </c>
    </row>
    <row r="11" spans="1:2" x14ac:dyDescent="0.2">
      <c r="A11" s="3" t="s">
        <v>134</v>
      </c>
      <c r="B11" s="7">
        <f>(((B7)+(B8))+(B9))+(B10)</f>
        <v>217227.04</v>
      </c>
    </row>
    <row r="12" spans="1:2" x14ac:dyDescent="0.2">
      <c r="A12" s="3" t="s">
        <v>133</v>
      </c>
      <c r="B12" s="4"/>
    </row>
    <row r="13" spans="1:2" x14ac:dyDescent="0.2">
      <c r="A13" s="3" t="s">
        <v>132</v>
      </c>
      <c r="B13" s="5">
        <f>15150</f>
        <v>15150</v>
      </c>
    </row>
    <row r="14" spans="1:2" x14ac:dyDescent="0.2">
      <c r="A14" s="3" t="s">
        <v>131</v>
      </c>
      <c r="B14" s="5">
        <f>22785</f>
        <v>22785</v>
      </c>
    </row>
    <row r="15" spans="1:2" x14ac:dyDescent="0.2">
      <c r="A15" s="3" t="s">
        <v>130</v>
      </c>
      <c r="B15" s="7">
        <f>((B12)+(B13))+(B14)</f>
        <v>37935</v>
      </c>
    </row>
    <row r="16" spans="1:2" x14ac:dyDescent="0.2">
      <c r="A16" s="3" t="s">
        <v>129</v>
      </c>
      <c r="B16" s="7">
        <f>(B11)+(B15)</f>
        <v>255162.04</v>
      </c>
    </row>
    <row r="17" spans="1:2" x14ac:dyDescent="0.2">
      <c r="A17" s="3" t="s">
        <v>128</v>
      </c>
      <c r="B17" s="7">
        <f>(B16)-(0)</f>
        <v>255162.04</v>
      </c>
    </row>
    <row r="18" spans="1:2" x14ac:dyDescent="0.2">
      <c r="A18" s="3" t="s">
        <v>127</v>
      </c>
      <c r="B18" s="4"/>
    </row>
    <row r="19" spans="1:2" x14ac:dyDescent="0.2">
      <c r="A19" s="3" t="s">
        <v>121</v>
      </c>
      <c r="B19" s="4"/>
    </row>
    <row r="20" spans="1:2" x14ac:dyDescent="0.2">
      <c r="A20" s="3" t="s">
        <v>119</v>
      </c>
      <c r="B20" s="5">
        <f>7408</f>
        <v>7408</v>
      </c>
    </row>
    <row r="21" spans="1:2" x14ac:dyDescent="0.2">
      <c r="A21" s="3" t="s">
        <v>118</v>
      </c>
      <c r="B21" s="5">
        <f>38000</f>
        <v>38000</v>
      </c>
    </row>
    <row r="22" spans="1:2" x14ac:dyDescent="0.2">
      <c r="A22" s="3" t="s">
        <v>116</v>
      </c>
      <c r="B22" s="5">
        <f>46700.69</f>
        <v>46700.69</v>
      </c>
    </row>
    <row r="23" spans="1:2" x14ac:dyDescent="0.2">
      <c r="A23" s="3" t="s">
        <v>115</v>
      </c>
      <c r="B23" s="5">
        <f>5706.99</f>
        <v>5706.99</v>
      </c>
    </row>
    <row r="24" spans="1:2" x14ac:dyDescent="0.2">
      <c r="A24" s="3" t="s">
        <v>114</v>
      </c>
      <c r="B24" s="5">
        <f>1450</f>
        <v>1450</v>
      </c>
    </row>
    <row r="25" spans="1:2" x14ac:dyDescent="0.2">
      <c r="A25" s="3" t="s">
        <v>113</v>
      </c>
      <c r="B25" s="5">
        <f>1800</f>
        <v>1800</v>
      </c>
    </row>
    <row r="26" spans="1:2" x14ac:dyDescent="0.2">
      <c r="A26" s="3" t="s">
        <v>112</v>
      </c>
      <c r="B26" s="5">
        <f>47168.95</f>
        <v>47168.95</v>
      </c>
    </row>
    <row r="27" spans="1:2" x14ac:dyDescent="0.2">
      <c r="A27" s="3" t="s">
        <v>111</v>
      </c>
      <c r="B27" s="5">
        <f>2193.79</f>
        <v>2193.79</v>
      </c>
    </row>
    <row r="28" spans="1:2" x14ac:dyDescent="0.2">
      <c r="A28" s="3" t="s">
        <v>110</v>
      </c>
      <c r="B28" s="5">
        <f>61322.36</f>
        <v>61322.36</v>
      </c>
    </row>
    <row r="29" spans="1:2" x14ac:dyDescent="0.2">
      <c r="A29" s="3" t="s">
        <v>109</v>
      </c>
      <c r="B29" s="5">
        <f>1530</f>
        <v>1530</v>
      </c>
    </row>
    <row r="30" spans="1:2" x14ac:dyDescent="0.2">
      <c r="A30" s="3" t="s">
        <v>108</v>
      </c>
      <c r="B30" s="5">
        <f>19921.04</f>
        <v>19921.04</v>
      </c>
    </row>
    <row r="31" spans="1:2" x14ac:dyDescent="0.2">
      <c r="A31" s="3" t="s">
        <v>107</v>
      </c>
      <c r="B31" s="4"/>
    </row>
    <row r="32" spans="1:2" x14ac:dyDescent="0.2">
      <c r="A32" s="3" t="s">
        <v>106</v>
      </c>
      <c r="B32" s="5">
        <f>8665.71</f>
        <v>8665.7099999999991</v>
      </c>
    </row>
    <row r="33" spans="1:2" x14ac:dyDescent="0.2">
      <c r="A33" s="3" t="s">
        <v>105</v>
      </c>
      <c r="B33" s="5">
        <f>222.47</f>
        <v>222.47</v>
      </c>
    </row>
    <row r="34" spans="1:2" x14ac:dyDescent="0.2">
      <c r="A34" s="3" t="s">
        <v>104</v>
      </c>
      <c r="B34" s="5">
        <f>44.93</f>
        <v>44.93</v>
      </c>
    </row>
    <row r="35" spans="1:2" x14ac:dyDescent="0.2">
      <c r="A35" s="3" t="s">
        <v>103</v>
      </c>
      <c r="B35" s="7">
        <f>(((B31)+(B32))+(B33))+(B34)</f>
        <v>8933.1099999999988</v>
      </c>
    </row>
    <row r="36" spans="1:2" x14ac:dyDescent="0.2">
      <c r="A36" s="3" t="s">
        <v>102</v>
      </c>
      <c r="B36" s="5">
        <f>14375.78</f>
        <v>14375.78</v>
      </c>
    </row>
    <row r="37" spans="1:2" x14ac:dyDescent="0.2">
      <c r="A37" s="3" t="s">
        <v>101</v>
      </c>
      <c r="B37" s="5">
        <f>-440.4</f>
        <v>-440.4</v>
      </c>
    </row>
    <row r="38" spans="1:2" x14ac:dyDescent="0.2">
      <c r="A38" s="3" t="s">
        <v>99</v>
      </c>
      <c r="B38" s="5">
        <f>7850.03</f>
        <v>7850.03</v>
      </c>
    </row>
    <row r="39" spans="1:2" x14ac:dyDescent="0.2">
      <c r="A39" s="3" t="s">
        <v>98</v>
      </c>
      <c r="B39" s="5">
        <f>113.75</f>
        <v>113.75</v>
      </c>
    </row>
    <row r="40" spans="1:2" x14ac:dyDescent="0.2">
      <c r="A40" s="3" t="s">
        <v>97</v>
      </c>
      <c r="B40" s="5">
        <f>700</f>
        <v>700</v>
      </c>
    </row>
    <row r="41" spans="1:2" x14ac:dyDescent="0.2">
      <c r="A41" s="3" t="s">
        <v>95</v>
      </c>
      <c r="B41" s="5">
        <f>1725</f>
        <v>1725</v>
      </c>
    </row>
    <row r="42" spans="1:2" x14ac:dyDescent="0.2">
      <c r="A42" s="3" t="s">
        <v>94</v>
      </c>
      <c r="B42" s="5">
        <f>75</f>
        <v>75</v>
      </c>
    </row>
    <row r="43" spans="1:2" x14ac:dyDescent="0.2">
      <c r="A43" s="3" t="s">
        <v>93</v>
      </c>
      <c r="B43" s="5">
        <f>1328.36</f>
        <v>1328.36</v>
      </c>
    </row>
    <row r="44" spans="1:2" x14ac:dyDescent="0.2">
      <c r="A44" s="3" t="s">
        <v>92</v>
      </c>
      <c r="B44" s="5">
        <f>3949.67</f>
        <v>3949.67</v>
      </c>
    </row>
    <row r="45" spans="1:2" x14ac:dyDescent="0.2">
      <c r="A45" s="3" t="s">
        <v>90</v>
      </c>
      <c r="B45" s="7">
        <f>(((((((((((((((((((((B19)+(B20))+(B21))+(B22))+(B23))+(B24))+(B25))+(B26))+(B27))+(B28))+(B29))+(B30))+(B35))+(B36))+(B37))+(B38))+(B39))+(B40))+(B41))+(B42))+(B43))+(B44)</f>
        <v>271812.12</v>
      </c>
    </row>
    <row r="46" spans="1:2" x14ac:dyDescent="0.2">
      <c r="A46" s="3" t="s">
        <v>89</v>
      </c>
      <c r="B46" s="4"/>
    </row>
    <row r="47" spans="1:2" x14ac:dyDescent="0.2">
      <c r="A47" s="3" t="s">
        <v>88</v>
      </c>
      <c r="B47" s="5">
        <f>715.3</f>
        <v>715.3</v>
      </c>
    </row>
    <row r="48" spans="1:2" x14ac:dyDescent="0.2">
      <c r="A48" s="3" t="s">
        <v>87</v>
      </c>
      <c r="B48" s="5">
        <f>221.45</f>
        <v>221.45</v>
      </c>
    </row>
    <row r="49" spans="1:2" x14ac:dyDescent="0.2">
      <c r="A49" s="3" t="s">
        <v>86</v>
      </c>
      <c r="B49" s="5">
        <f>1013</f>
        <v>1013</v>
      </c>
    </row>
    <row r="50" spans="1:2" x14ac:dyDescent="0.2">
      <c r="A50" s="3" t="s">
        <v>85</v>
      </c>
      <c r="B50" s="7">
        <f>(((B46)+(B47))+(B48))+(B49)</f>
        <v>1949.75</v>
      </c>
    </row>
    <row r="51" spans="1:2" x14ac:dyDescent="0.2">
      <c r="A51" s="3" t="s">
        <v>84</v>
      </c>
      <c r="B51" s="4"/>
    </row>
    <row r="52" spans="1:2" x14ac:dyDescent="0.2">
      <c r="A52" s="3" t="s">
        <v>83</v>
      </c>
      <c r="B52" s="5">
        <f>327.14</f>
        <v>327.14</v>
      </c>
    </row>
    <row r="53" spans="1:2" x14ac:dyDescent="0.2">
      <c r="A53" s="3" t="s">
        <v>82</v>
      </c>
      <c r="B53" s="4"/>
    </row>
    <row r="54" spans="1:2" x14ac:dyDescent="0.2">
      <c r="A54" s="3" t="s">
        <v>80</v>
      </c>
      <c r="B54" s="5">
        <f>15000</f>
        <v>15000</v>
      </c>
    </row>
    <row r="55" spans="1:2" x14ac:dyDescent="0.2">
      <c r="A55" s="3" t="s">
        <v>79</v>
      </c>
      <c r="B55" s="5">
        <f>10000</f>
        <v>10000</v>
      </c>
    </row>
    <row r="56" spans="1:2" x14ac:dyDescent="0.2">
      <c r="A56" s="3" t="s">
        <v>78</v>
      </c>
      <c r="B56" s="5">
        <f>5989.5</f>
        <v>5989.5</v>
      </c>
    </row>
    <row r="57" spans="1:2" x14ac:dyDescent="0.2">
      <c r="A57" s="3" t="s">
        <v>77</v>
      </c>
      <c r="B57" s="5">
        <f>56700</f>
        <v>56700</v>
      </c>
    </row>
    <row r="58" spans="1:2" x14ac:dyDescent="0.2">
      <c r="A58" s="3" t="s">
        <v>76</v>
      </c>
      <c r="B58" s="5">
        <f>1600</f>
        <v>1600</v>
      </c>
    </row>
    <row r="59" spans="1:2" x14ac:dyDescent="0.2">
      <c r="A59" s="3" t="s">
        <v>75</v>
      </c>
      <c r="B59" s="5">
        <f>10700</f>
        <v>10700</v>
      </c>
    </row>
    <row r="60" spans="1:2" x14ac:dyDescent="0.2">
      <c r="A60" s="3" t="s">
        <v>74</v>
      </c>
      <c r="B60" s="5">
        <f>676.5</f>
        <v>676.5</v>
      </c>
    </row>
    <row r="61" spans="1:2" x14ac:dyDescent="0.2">
      <c r="A61" s="3" t="s">
        <v>73</v>
      </c>
      <c r="B61" s="5">
        <f>3342.5</f>
        <v>3342.5</v>
      </c>
    </row>
    <row r="62" spans="1:2" x14ac:dyDescent="0.2">
      <c r="A62" s="3" t="s">
        <v>72</v>
      </c>
      <c r="B62" s="5">
        <f>1625</f>
        <v>1625</v>
      </c>
    </row>
    <row r="63" spans="1:2" x14ac:dyDescent="0.2">
      <c r="A63" s="3" t="s">
        <v>71</v>
      </c>
      <c r="B63" s="5">
        <f>660</f>
        <v>660</v>
      </c>
    </row>
    <row r="64" spans="1:2" x14ac:dyDescent="0.2">
      <c r="A64" s="3" t="s">
        <v>70</v>
      </c>
      <c r="B64" s="5">
        <f>16175</f>
        <v>16175</v>
      </c>
    </row>
    <row r="65" spans="1:2" x14ac:dyDescent="0.2">
      <c r="A65" s="3" t="s">
        <v>69</v>
      </c>
      <c r="B65" s="7">
        <f>(((((((((((B53)+(B54))+(B55))+(B56))+(B57))+(B58))+(B59))+(B60))+(B61))+(B62))+(B63))+(B64)</f>
        <v>122468.5</v>
      </c>
    </row>
    <row r="66" spans="1:2" x14ac:dyDescent="0.2">
      <c r="A66" s="3" t="s">
        <v>68</v>
      </c>
      <c r="B66" s="5">
        <f>1226.38</f>
        <v>1226.3800000000001</v>
      </c>
    </row>
    <row r="67" spans="1:2" x14ac:dyDescent="0.2">
      <c r="A67" s="3" t="s">
        <v>67</v>
      </c>
      <c r="B67" s="5">
        <f>3614.58</f>
        <v>3614.58</v>
      </c>
    </row>
    <row r="68" spans="1:2" x14ac:dyDescent="0.2">
      <c r="A68" s="3" t="s">
        <v>66</v>
      </c>
      <c r="B68" s="5">
        <f>879.49</f>
        <v>879.49</v>
      </c>
    </row>
    <row r="69" spans="1:2" x14ac:dyDescent="0.2">
      <c r="A69" s="3" t="s">
        <v>65</v>
      </c>
      <c r="B69" s="5">
        <f>52</f>
        <v>52</v>
      </c>
    </row>
    <row r="70" spans="1:2" x14ac:dyDescent="0.2">
      <c r="A70" s="3" t="s">
        <v>64</v>
      </c>
      <c r="B70" s="4"/>
    </row>
    <row r="71" spans="1:2" x14ac:dyDescent="0.2">
      <c r="A71" s="3" t="s">
        <v>63</v>
      </c>
      <c r="B71" s="5">
        <f>1475</f>
        <v>1475</v>
      </c>
    </row>
    <row r="72" spans="1:2" x14ac:dyDescent="0.2">
      <c r="A72" s="3" t="s">
        <v>61</v>
      </c>
      <c r="B72" s="5">
        <f>180</f>
        <v>180</v>
      </c>
    </row>
    <row r="73" spans="1:2" x14ac:dyDescent="0.2">
      <c r="A73" s="3" t="s">
        <v>60</v>
      </c>
      <c r="B73" s="7">
        <f>((B70)+(B71))+(B72)</f>
        <v>1655</v>
      </c>
    </row>
    <row r="74" spans="1:2" x14ac:dyDescent="0.2">
      <c r="A74" s="3" t="s">
        <v>59</v>
      </c>
      <c r="B74" s="5">
        <f>3562.48</f>
        <v>3562.48</v>
      </c>
    </row>
    <row r="75" spans="1:2" x14ac:dyDescent="0.2">
      <c r="A75" s="3" t="s">
        <v>58</v>
      </c>
      <c r="B75" s="4"/>
    </row>
    <row r="76" spans="1:2" x14ac:dyDescent="0.2">
      <c r="A76" s="3" t="s">
        <v>57</v>
      </c>
      <c r="B76" s="5">
        <f>218.49</f>
        <v>218.49</v>
      </c>
    </row>
    <row r="77" spans="1:2" x14ac:dyDescent="0.2">
      <c r="A77" s="3" t="s">
        <v>56</v>
      </c>
      <c r="B77" s="5">
        <f>13000</f>
        <v>13000</v>
      </c>
    </row>
    <row r="78" spans="1:2" x14ac:dyDescent="0.2">
      <c r="A78" s="3" t="s">
        <v>55</v>
      </c>
      <c r="B78" s="7">
        <f>((B75)+(B76))+(B77)</f>
        <v>13218.49</v>
      </c>
    </row>
    <row r="79" spans="1:2" x14ac:dyDescent="0.2">
      <c r="A79" s="3" t="s">
        <v>54</v>
      </c>
      <c r="B79" s="7">
        <f>(((((((((B51)+(B52))+(B65))+(B66))+(B67))+(B68))+(B69))+(B73))+(B74))+(B78)</f>
        <v>147004.06</v>
      </c>
    </row>
    <row r="80" spans="1:2" x14ac:dyDescent="0.2">
      <c r="A80" s="3" t="s">
        <v>53</v>
      </c>
      <c r="B80" s="4"/>
    </row>
    <row r="81" spans="1:2" x14ac:dyDescent="0.2">
      <c r="A81" s="3" t="s">
        <v>52</v>
      </c>
      <c r="B81" s="5">
        <f>35888.94</f>
        <v>35888.94</v>
      </c>
    </row>
    <row r="82" spans="1:2" x14ac:dyDescent="0.2">
      <c r="A82" s="3" t="s">
        <v>51</v>
      </c>
      <c r="B82" s="5">
        <f>602.25</f>
        <v>602.25</v>
      </c>
    </row>
    <row r="83" spans="1:2" x14ac:dyDescent="0.2">
      <c r="A83" s="3" t="s">
        <v>49</v>
      </c>
      <c r="B83" s="5">
        <f>-9664.27</f>
        <v>-9664.27</v>
      </c>
    </row>
    <row r="84" spans="1:2" x14ac:dyDescent="0.2">
      <c r="A84" s="3" t="s">
        <v>48</v>
      </c>
      <c r="B84" s="5">
        <f>6879.25</f>
        <v>6879.25</v>
      </c>
    </row>
    <row r="85" spans="1:2" x14ac:dyDescent="0.2">
      <c r="A85" s="3" t="s">
        <v>47</v>
      </c>
      <c r="B85" s="5">
        <f>253.8</f>
        <v>253.8</v>
      </c>
    </row>
    <row r="86" spans="1:2" x14ac:dyDescent="0.2">
      <c r="A86" s="3" t="s">
        <v>46</v>
      </c>
      <c r="B86" s="7">
        <f>(((((B80)+(B81))+(B82))+(B83))+(B84))+(B85)</f>
        <v>33959.97</v>
      </c>
    </row>
    <row r="87" spans="1:2" x14ac:dyDescent="0.2">
      <c r="A87" s="3" t="s">
        <v>45</v>
      </c>
      <c r="B87" s="4"/>
    </row>
    <row r="88" spans="1:2" x14ac:dyDescent="0.2">
      <c r="A88" s="3" t="s">
        <v>43</v>
      </c>
      <c r="B88" s="5">
        <f>1500</f>
        <v>1500</v>
      </c>
    </row>
    <row r="89" spans="1:2" x14ac:dyDescent="0.2">
      <c r="A89" s="3" t="s">
        <v>42</v>
      </c>
      <c r="B89" s="5">
        <f>970.47</f>
        <v>970.47</v>
      </c>
    </row>
    <row r="90" spans="1:2" x14ac:dyDescent="0.2">
      <c r="A90" s="3" t="s">
        <v>40</v>
      </c>
      <c r="B90" s="5">
        <f>5220</f>
        <v>5220</v>
      </c>
    </row>
    <row r="91" spans="1:2" x14ac:dyDescent="0.2">
      <c r="A91" s="3" t="s">
        <v>38</v>
      </c>
      <c r="B91" s="5">
        <f>1413.44</f>
        <v>1413.44</v>
      </c>
    </row>
    <row r="92" spans="1:2" x14ac:dyDescent="0.2">
      <c r="A92" s="3" t="s">
        <v>36</v>
      </c>
      <c r="B92" s="5">
        <f>450</f>
        <v>450</v>
      </c>
    </row>
    <row r="93" spans="1:2" x14ac:dyDescent="0.2">
      <c r="A93" s="3" t="s">
        <v>34</v>
      </c>
      <c r="B93" s="7">
        <f>(((((B87)+(B88))+(B89))+(B90))+(B91))+(B92)</f>
        <v>9553.91</v>
      </c>
    </row>
    <row r="94" spans="1:2" x14ac:dyDescent="0.2">
      <c r="A94" s="3" t="s">
        <v>33</v>
      </c>
      <c r="B94" s="7">
        <f>((((B45)+(B50))+(B79))+(B86))+(B93)</f>
        <v>464279.81</v>
      </c>
    </row>
    <row r="95" spans="1:2" x14ac:dyDescent="0.2">
      <c r="A95" s="3" t="s">
        <v>32</v>
      </c>
      <c r="B95" s="7">
        <f>(B17)-(B94)</f>
        <v>-209117.77</v>
      </c>
    </row>
    <row r="96" spans="1:2" x14ac:dyDescent="0.2">
      <c r="A96" s="3" t="s">
        <v>31</v>
      </c>
      <c r="B96" s="4"/>
    </row>
    <row r="97" spans="1:2" x14ac:dyDescent="0.2">
      <c r="A97" s="3" t="s">
        <v>30</v>
      </c>
      <c r="B97" s="5">
        <f>2377.38</f>
        <v>2377.38</v>
      </c>
    </row>
    <row r="98" spans="1:2" x14ac:dyDescent="0.2">
      <c r="A98" s="3" t="s">
        <v>29</v>
      </c>
      <c r="B98" s="5">
        <f>34.77</f>
        <v>34.770000000000003</v>
      </c>
    </row>
    <row r="99" spans="1:2" x14ac:dyDescent="0.2">
      <c r="A99" s="3" t="s">
        <v>28</v>
      </c>
      <c r="B99" s="7">
        <f>(B97)+(B98)</f>
        <v>2412.15</v>
      </c>
    </row>
    <row r="100" spans="1:2" x14ac:dyDescent="0.2">
      <c r="A100" s="3" t="s">
        <v>27</v>
      </c>
      <c r="B100" s="4"/>
    </row>
    <row r="101" spans="1:2" x14ac:dyDescent="0.2">
      <c r="A101" s="3" t="s">
        <v>26</v>
      </c>
      <c r="B101" s="5">
        <f>100000</f>
        <v>100000</v>
      </c>
    </row>
    <row r="102" spans="1:2" x14ac:dyDescent="0.2">
      <c r="A102" s="3" t="s">
        <v>25</v>
      </c>
      <c r="B102" s="5">
        <f>200</f>
        <v>200</v>
      </c>
    </row>
    <row r="103" spans="1:2" x14ac:dyDescent="0.2">
      <c r="A103" s="3" t="s">
        <v>24</v>
      </c>
      <c r="B103" s="7">
        <f>(B101)+(B102)</f>
        <v>100200</v>
      </c>
    </row>
    <row r="104" spans="1:2" x14ac:dyDescent="0.2">
      <c r="A104" s="3" t="s">
        <v>22</v>
      </c>
      <c r="B104" s="7">
        <f>B103</f>
        <v>100200</v>
      </c>
    </row>
    <row r="105" spans="1:2" x14ac:dyDescent="0.2">
      <c r="A105" s="3" t="s">
        <v>21</v>
      </c>
      <c r="B105" s="7">
        <f>(B99)-(B104)</f>
        <v>-97787.85</v>
      </c>
    </row>
    <row r="106" spans="1:2" x14ac:dyDescent="0.2">
      <c r="A106" s="3" t="s">
        <v>20</v>
      </c>
      <c r="B106" s="7">
        <f>(B95)+(B105)</f>
        <v>-306905.62</v>
      </c>
    </row>
    <row r="107" spans="1:2" x14ac:dyDescent="0.2">
      <c r="A107" s="3"/>
      <c r="B107" s="4"/>
    </row>
    <row r="110" spans="1:2" x14ac:dyDescent="0.2">
      <c r="A110" s="8" t="s">
        <v>145</v>
      </c>
      <c r="B110" s="9"/>
    </row>
  </sheetData>
  <mergeCells count="4">
    <mergeCell ref="A110:B110"/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84A1-C325-4B54-B28B-ED496B8FEDAD}">
  <dimension ref="A1:D130"/>
  <sheetViews>
    <sheetView topLeftCell="A52" workbookViewId="0">
      <selection sqref="A1:D1"/>
    </sheetView>
  </sheetViews>
  <sheetFormatPr baseColWidth="10" defaultColWidth="8.83203125" defaultRowHeight="15" x14ac:dyDescent="0.2"/>
  <cols>
    <col min="1" max="1" width="31.83203125" customWidth="1"/>
    <col min="2" max="4" width="12" customWidth="1"/>
  </cols>
  <sheetData>
    <row r="1" spans="1:4" ht="18" x14ac:dyDescent="0.2">
      <c r="A1" s="10" t="s">
        <v>16</v>
      </c>
      <c r="B1" s="9"/>
      <c r="C1" s="9"/>
      <c r="D1" s="9"/>
    </row>
    <row r="2" spans="1:4" ht="18" x14ac:dyDescent="0.2">
      <c r="A2" s="10" t="s">
        <v>143</v>
      </c>
      <c r="B2" s="9"/>
      <c r="C2" s="9"/>
      <c r="D2" s="9"/>
    </row>
    <row r="3" spans="1:4" x14ac:dyDescent="0.2">
      <c r="A3" s="11" t="s">
        <v>18</v>
      </c>
      <c r="B3" s="9"/>
      <c r="C3" s="9"/>
      <c r="D3" s="9"/>
    </row>
    <row r="5" spans="1:4" x14ac:dyDescent="0.2">
      <c r="A5" s="1"/>
      <c r="B5" s="12" t="s">
        <v>0</v>
      </c>
      <c r="C5" s="13"/>
      <c r="D5" s="13"/>
    </row>
    <row r="6" spans="1:4" ht="27" x14ac:dyDescent="0.2">
      <c r="A6" s="1"/>
      <c r="B6" s="2" t="s">
        <v>142</v>
      </c>
      <c r="C6" s="2" t="s">
        <v>141</v>
      </c>
      <c r="D6" s="2" t="s">
        <v>140</v>
      </c>
    </row>
    <row r="7" spans="1:4" x14ac:dyDescent="0.2">
      <c r="A7" s="3" t="s">
        <v>139</v>
      </c>
      <c r="B7" s="4"/>
      <c r="C7" s="4"/>
      <c r="D7" s="4"/>
    </row>
    <row r="8" spans="1:4" x14ac:dyDescent="0.2">
      <c r="A8" s="3" t="s">
        <v>138</v>
      </c>
      <c r="B8" s="4"/>
      <c r="C8" s="4"/>
      <c r="D8" s="5">
        <f t="shared" ref="D8:D18" si="0">(B8)-(C8)</f>
        <v>0</v>
      </c>
    </row>
    <row r="9" spans="1:4" x14ac:dyDescent="0.2">
      <c r="A9" s="3" t="s">
        <v>137</v>
      </c>
      <c r="B9" s="5">
        <f>149466.01</f>
        <v>149466.01</v>
      </c>
      <c r="C9" s="5">
        <f>-5247</f>
        <v>-5247</v>
      </c>
      <c r="D9" s="5">
        <f t="shared" si="0"/>
        <v>154713.01</v>
      </c>
    </row>
    <row r="10" spans="1:4" x14ac:dyDescent="0.2">
      <c r="A10" s="3" t="s">
        <v>136</v>
      </c>
      <c r="B10" s="5">
        <f>2261.03</f>
        <v>2261.0300000000002</v>
      </c>
      <c r="C10" s="5">
        <f>507.35</f>
        <v>507.35</v>
      </c>
      <c r="D10" s="5">
        <f t="shared" si="0"/>
        <v>1753.6800000000003</v>
      </c>
    </row>
    <row r="11" spans="1:4" x14ac:dyDescent="0.2">
      <c r="A11" s="3" t="s">
        <v>135</v>
      </c>
      <c r="B11" s="5">
        <f>65500</f>
        <v>65500</v>
      </c>
      <c r="C11" s="4"/>
      <c r="D11" s="5">
        <f t="shared" si="0"/>
        <v>65500</v>
      </c>
    </row>
    <row r="12" spans="1:4" x14ac:dyDescent="0.2">
      <c r="A12" s="3" t="s">
        <v>134</v>
      </c>
      <c r="B12" s="7">
        <f>(((B8)+(B9))+(B10))+(B11)</f>
        <v>217227.04</v>
      </c>
      <c r="C12" s="7">
        <f>(((C8)+(C9))+(C10))+(C11)</f>
        <v>-4739.6499999999996</v>
      </c>
      <c r="D12" s="7">
        <f t="shared" si="0"/>
        <v>221966.69</v>
      </c>
    </row>
    <row r="13" spans="1:4" x14ac:dyDescent="0.2">
      <c r="A13" s="3" t="s">
        <v>133</v>
      </c>
      <c r="B13" s="4"/>
      <c r="C13" s="4"/>
      <c r="D13" s="5">
        <f t="shared" si="0"/>
        <v>0</v>
      </c>
    </row>
    <row r="14" spans="1:4" x14ac:dyDescent="0.2">
      <c r="A14" s="3" t="s">
        <v>132</v>
      </c>
      <c r="B14" s="5">
        <f>15150</f>
        <v>15150</v>
      </c>
      <c r="C14" s="5">
        <f>17750</f>
        <v>17750</v>
      </c>
      <c r="D14" s="5">
        <f t="shared" si="0"/>
        <v>-2600</v>
      </c>
    </row>
    <row r="15" spans="1:4" x14ac:dyDescent="0.2">
      <c r="A15" s="3" t="s">
        <v>131</v>
      </c>
      <c r="B15" s="5">
        <f>22785</f>
        <v>22785</v>
      </c>
      <c r="C15" s="5">
        <f>12912.08</f>
        <v>12912.08</v>
      </c>
      <c r="D15" s="5">
        <f t="shared" si="0"/>
        <v>9872.92</v>
      </c>
    </row>
    <row r="16" spans="1:4" x14ac:dyDescent="0.2">
      <c r="A16" s="3" t="s">
        <v>130</v>
      </c>
      <c r="B16" s="7">
        <f>((B13)+(B14))+(B15)</f>
        <v>37935</v>
      </c>
      <c r="C16" s="7">
        <f>((C13)+(C14))+(C15)</f>
        <v>30662.080000000002</v>
      </c>
      <c r="D16" s="7">
        <f t="shared" si="0"/>
        <v>7272.9199999999983</v>
      </c>
    </row>
    <row r="17" spans="1:4" x14ac:dyDescent="0.2">
      <c r="A17" s="3" t="s">
        <v>129</v>
      </c>
      <c r="B17" s="7">
        <f>(B12)+(B16)</f>
        <v>255162.04</v>
      </c>
      <c r="C17" s="7">
        <f>(C12)+(C16)</f>
        <v>25922.43</v>
      </c>
      <c r="D17" s="7">
        <f t="shared" si="0"/>
        <v>229239.61000000002</v>
      </c>
    </row>
    <row r="18" spans="1:4" x14ac:dyDescent="0.2">
      <c r="A18" s="3" t="s">
        <v>128</v>
      </c>
      <c r="B18" s="7">
        <f>(B17)-(0)</f>
        <v>255162.04</v>
      </c>
      <c r="C18" s="7">
        <f>(C17)-(0)</f>
        <v>25922.43</v>
      </c>
      <c r="D18" s="7">
        <f t="shared" si="0"/>
        <v>229239.61000000002</v>
      </c>
    </row>
    <row r="19" spans="1:4" x14ac:dyDescent="0.2">
      <c r="A19" s="3" t="s">
        <v>127</v>
      </c>
      <c r="B19" s="4"/>
      <c r="C19" s="4"/>
      <c r="D19" s="4"/>
    </row>
    <row r="20" spans="1:4" x14ac:dyDescent="0.2">
      <c r="A20" s="3" t="s">
        <v>126</v>
      </c>
      <c r="B20" s="4"/>
      <c r="C20" s="4"/>
      <c r="D20" s="5">
        <f t="shared" ref="D20:D51" si="1">(B20)-(C20)</f>
        <v>0</v>
      </c>
    </row>
    <row r="21" spans="1:4" x14ac:dyDescent="0.2">
      <c r="A21" s="3" t="s">
        <v>125</v>
      </c>
      <c r="B21" s="4"/>
      <c r="C21" s="4"/>
      <c r="D21" s="5">
        <f t="shared" si="1"/>
        <v>0</v>
      </c>
    </row>
    <row r="22" spans="1:4" x14ac:dyDescent="0.2">
      <c r="A22" s="3" t="s">
        <v>124</v>
      </c>
      <c r="B22" s="4"/>
      <c r="C22" s="5">
        <f>30000</f>
        <v>30000</v>
      </c>
      <c r="D22" s="5">
        <f t="shared" si="1"/>
        <v>-30000</v>
      </c>
    </row>
    <row r="23" spans="1:4" x14ac:dyDescent="0.2">
      <c r="A23" s="3" t="s">
        <v>123</v>
      </c>
      <c r="B23" s="7">
        <f>(B21)+(B22)</f>
        <v>0</v>
      </c>
      <c r="C23" s="7">
        <f>(C21)+(C22)</f>
        <v>30000</v>
      </c>
      <c r="D23" s="7">
        <f t="shared" si="1"/>
        <v>-30000</v>
      </c>
    </row>
    <row r="24" spans="1:4" x14ac:dyDescent="0.2">
      <c r="A24" s="3" t="s">
        <v>122</v>
      </c>
      <c r="B24" s="7">
        <f>(B20)+(B23)</f>
        <v>0</v>
      </c>
      <c r="C24" s="7">
        <f>(C20)+(C23)</f>
        <v>30000</v>
      </c>
      <c r="D24" s="7">
        <f t="shared" si="1"/>
        <v>-30000</v>
      </c>
    </row>
    <row r="25" spans="1:4" x14ac:dyDescent="0.2">
      <c r="A25" s="3" t="s">
        <v>121</v>
      </c>
      <c r="B25" s="4"/>
      <c r="C25" s="4"/>
      <c r="D25" s="5">
        <f t="shared" si="1"/>
        <v>0</v>
      </c>
    </row>
    <row r="26" spans="1:4" x14ac:dyDescent="0.2">
      <c r="A26" s="3" t="s">
        <v>120</v>
      </c>
      <c r="B26" s="4"/>
      <c r="C26" s="5">
        <f>5000</f>
        <v>5000</v>
      </c>
      <c r="D26" s="5">
        <f t="shared" si="1"/>
        <v>-5000</v>
      </c>
    </row>
    <row r="27" spans="1:4" x14ac:dyDescent="0.2">
      <c r="A27" s="3" t="s">
        <v>119</v>
      </c>
      <c r="B27" s="5">
        <f>7408</f>
        <v>7408</v>
      </c>
      <c r="C27" s="4"/>
      <c r="D27" s="5">
        <f t="shared" si="1"/>
        <v>7408</v>
      </c>
    </row>
    <row r="28" spans="1:4" x14ac:dyDescent="0.2">
      <c r="A28" s="3" t="s">
        <v>118</v>
      </c>
      <c r="B28" s="5">
        <f>38000</f>
        <v>38000</v>
      </c>
      <c r="C28" s="5">
        <f>1000</f>
        <v>1000</v>
      </c>
      <c r="D28" s="5">
        <f t="shared" si="1"/>
        <v>37000</v>
      </c>
    </row>
    <row r="29" spans="1:4" x14ac:dyDescent="0.2">
      <c r="A29" s="3" t="s">
        <v>117</v>
      </c>
      <c r="B29" s="4"/>
      <c r="C29" s="5">
        <f>-26388.14</f>
        <v>-26388.14</v>
      </c>
      <c r="D29" s="5">
        <f t="shared" si="1"/>
        <v>26388.14</v>
      </c>
    </row>
    <row r="30" spans="1:4" x14ac:dyDescent="0.2">
      <c r="A30" s="3" t="s">
        <v>116</v>
      </c>
      <c r="B30" s="5">
        <f>46700.69</f>
        <v>46700.69</v>
      </c>
      <c r="C30" s="5">
        <f>16836.98</f>
        <v>16836.98</v>
      </c>
      <c r="D30" s="5">
        <f t="shared" si="1"/>
        <v>29863.710000000003</v>
      </c>
    </row>
    <row r="31" spans="1:4" x14ac:dyDescent="0.2">
      <c r="A31" s="3" t="s">
        <v>115</v>
      </c>
      <c r="B31" s="5">
        <f>5706.99</f>
        <v>5706.99</v>
      </c>
      <c r="C31" s="5">
        <f>50169.68</f>
        <v>50169.68</v>
      </c>
      <c r="D31" s="5">
        <f t="shared" si="1"/>
        <v>-44462.69</v>
      </c>
    </row>
    <row r="32" spans="1:4" x14ac:dyDescent="0.2">
      <c r="A32" s="3" t="s">
        <v>114</v>
      </c>
      <c r="B32" s="5">
        <f>1450</f>
        <v>1450</v>
      </c>
      <c r="C32" s="4"/>
      <c r="D32" s="5">
        <f t="shared" si="1"/>
        <v>1450</v>
      </c>
    </row>
    <row r="33" spans="1:4" x14ac:dyDescent="0.2">
      <c r="A33" s="3" t="s">
        <v>113</v>
      </c>
      <c r="B33" s="5">
        <f>1800</f>
        <v>1800</v>
      </c>
      <c r="C33" s="4"/>
      <c r="D33" s="5">
        <f t="shared" si="1"/>
        <v>1800</v>
      </c>
    </row>
    <row r="34" spans="1:4" x14ac:dyDescent="0.2">
      <c r="A34" s="3" t="s">
        <v>112</v>
      </c>
      <c r="B34" s="5">
        <f>47168.95</f>
        <v>47168.95</v>
      </c>
      <c r="C34" s="4"/>
      <c r="D34" s="5">
        <f t="shared" si="1"/>
        <v>47168.95</v>
      </c>
    </row>
    <row r="35" spans="1:4" x14ac:dyDescent="0.2">
      <c r="A35" s="3" t="s">
        <v>111</v>
      </c>
      <c r="B35" s="5">
        <f>2193.79</f>
        <v>2193.79</v>
      </c>
      <c r="C35" s="4"/>
      <c r="D35" s="5">
        <f t="shared" si="1"/>
        <v>2193.79</v>
      </c>
    </row>
    <row r="36" spans="1:4" x14ac:dyDescent="0.2">
      <c r="A36" s="3" t="s">
        <v>110</v>
      </c>
      <c r="B36" s="5">
        <f>61322.36</f>
        <v>61322.36</v>
      </c>
      <c r="C36" s="5">
        <f>3000</f>
        <v>3000</v>
      </c>
      <c r="D36" s="5">
        <f t="shared" si="1"/>
        <v>58322.36</v>
      </c>
    </row>
    <row r="37" spans="1:4" x14ac:dyDescent="0.2">
      <c r="A37" s="3" t="s">
        <v>109</v>
      </c>
      <c r="B37" s="5">
        <f>1530</f>
        <v>1530</v>
      </c>
      <c r="C37" s="4"/>
      <c r="D37" s="5">
        <f t="shared" si="1"/>
        <v>1530</v>
      </c>
    </row>
    <row r="38" spans="1:4" x14ac:dyDescent="0.2">
      <c r="A38" s="3" t="s">
        <v>108</v>
      </c>
      <c r="B38" s="5">
        <f>19921.04</f>
        <v>19921.04</v>
      </c>
      <c r="C38" s="5">
        <f>33</f>
        <v>33</v>
      </c>
      <c r="D38" s="5">
        <f t="shared" si="1"/>
        <v>19888.04</v>
      </c>
    </row>
    <row r="39" spans="1:4" x14ac:dyDescent="0.2">
      <c r="A39" s="3" t="s">
        <v>107</v>
      </c>
      <c r="B39" s="4"/>
      <c r="C39" s="4"/>
      <c r="D39" s="5">
        <f t="shared" si="1"/>
        <v>0</v>
      </c>
    </row>
    <row r="40" spans="1:4" x14ac:dyDescent="0.2">
      <c r="A40" s="3" t="s">
        <v>106</v>
      </c>
      <c r="B40" s="5">
        <f>8665.71</f>
        <v>8665.7099999999991</v>
      </c>
      <c r="C40" s="4"/>
      <c r="D40" s="5">
        <f t="shared" si="1"/>
        <v>8665.7099999999991</v>
      </c>
    </row>
    <row r="41" spans="1:4" x14ac:dyDescent="0.2">
      <c r="A41" s="3" t="s">
        <v>105</v>
      </c>
      <c r="B41" s="5">
        <f>222.47</f>
        <v>222.47</v>
      </c>
      <c r="C41" s="4"/>
      <c r="D41" s="5">
        <f t="shared" si="1"/>
        <v>222.47</v>
      </c>
    </row>
    <row r="42" spans="1:4" x14ac:dyDescent="0.2">
      <c r="A42" s="3" t="s">
        <v>104</v>
      </c>
      <c r="B42" s="5">
        <f>44.93</f>
        <v>44.93</v>
      </c>
      <c r="C42" s="4"/>
      <c r="D42" s="5">
        <f t="shared" si="1"/>
        <v>44.93</v>
      </c>
    </row>
    <row r="43" spans="1:4" x14ac:dyDescent="0.2">
      <c r="A43" s="3" t="s">
        <v>103</v>
      </c>
      <c r="B43" s="7">
        <f>(((B39)+(B40))+(B41))+(B42)</f>
        <v>8933.1099999999988</v>
      </c>
      <c r="C43" s="7">
        <f>(((C39)+(C40))+(C41))+(C42)</f>
        <v>0</v>
      </c>
      <c r="D43" s="7">
        <f t="shared" si="1"/>
        <v>8933.1099999999988</v>
      </c>
    </row>
    <row r="44" spans="1:4" x14ac:dyDescent="0.2">
      <c r="A44" s="3" t="s">
        <v>102</v>
      </c>
      <c r="B44" s="5">
        <f>14375.78</f>
        <v>14375.78</v>
      </c>
      <c r="C44" s="4"/>
      <c r="D44" s="5">
        <f t="shared" si="1"/>
        <v>14375.78</v>
      </c>
    </row>
    <row r="45" spans="1:4" x14ac:dyDescent="0.2">
      <c r="A45" s="3" t="s">
        <v>101</v>
      </c>
      <c r="B45" s="5">
        <f>-440.4</f>
        <v>-440.4</v>
      </c>
      <c r="C45" s="4"/>
      <c r="D45" s="5">
        <f t="shared" si="1"/>
        <v>-440.4</v>
      </c>
    </row>
    <row r="46" spans="1:4" x14ac:dyDescent="0.2">
      <c r="A46" s="3" t="s">
        <v>100</v>
      </c>
      <c r="B46" s="4"/>
      <c r="C46" s="5">
        <f>1103.27</f>
        <v>1103.27</v>
      </c>
      <c r="D46" s="5">
        <f t="shared" si="1"/>
        <v>-1103.27</v>
      </c>
    </row>
    <row r="47" spans="1:4" x14ac:dyDescent="0.2">
      <c r="A47" s="3" t="s">
        <v>99</v>
      </c>
      <c r="B47" s="5">
        <f>7850.03</f>
        <v>7850.03</v>
      </c>
      <c r="C47" s="4"/>
      <c r="D47" s="5">
        <f t="shared" si="1"/>
        <v>7850.03</v>
      </c>
    </row>
    <row r="48" spans="1:4" x14ac:dyDescent="0.2">
      <c r="A48" s="3" t="s">
        <v>98</v>
      </c>
      <c r="B48" s="5">
        <f>113.75</f>
        <v>113.75</v>
      </c>
      <c r="C48" s="5">
        <f>6600</f>
        <v>6600</v>
      </c>
      <c r="D48" s="5">
        <f t="shared" si="1"/>
        <v>-6486.25</v>
      </c>
    </row>
    <row r="49" spans="1:4" x14ac:dyDescent="0.2">
      <c r="A49" s="3" t="s">
        <v>97</v>
      </c>
      <c r="B49" s="5">
        <f>700</f>
        <v>700</v>
      </c>
      <c r="C49" s="4"/>
      <c r="D49" s="5">
        <f t="shared" si="1"/>
        <v>700</v>
      </c>
    </row>
    <row r="50" spans="1:4" x14ac:dyDescent="0.2">
      <c r="A50" s="3" t="s">
        <v>96</v>
      </c>
      <c r="B50" s="4"/>
      <c r="C50" s="5">
        <f>20000</f>
        <v>20000</v>
      </c>
      <c r="D50" s="5">
        <f t="shared" si="1"/>
        <v>-20000</v>
      </c>
    </row>
    <row r="51" spans="1:4" x14ac:dyDescent="0.2">
      <c r="A51" s="3" t="s">
        <v>95</v>
      </c>
      <c r="B51" s="5">
        <f>1725</f>
        <v>1725</v>
      </c>
      <c r="C51" s="4"/>
      <c r="D51" s="5">
        <f t="shared" si="1"/>
        <v>1725</v>
      </c>
    </row>
    <row r="52" spans="1:4" x14ac:dyDescent="0.2">
      <c r="A52" s="3" t="s">
        <v>94</v>
      </c>
      <c r="B52" s="5">
        <f>75</f>
        <v>75</v>
      </c>
      <c r="C52" s="5">
        <f>10452.17</f>
        <v>10452.17</v>
      </c>
      <c r="D52" s="5">
        <f t="shared" ref="D52:D83" si="2">(B52)-(C52)</f>
        <v>-10377.17</v>
      </c>
    </row>
    <row r="53" spans="1:4" x14ac:dyDescent="0.2">
      <c r="A53" s="3" t="s">
        <v>93</v>
      </c>
      <c r="B53" s="5">
        <f>1328.36</f>
        <v>1328.36</v>
      </c>
      <c r="C53" s="5">
        <f>92.78</f>
        <v>92.78</v>
      </c>
      <c r="D53" s="5">
        <f t="shared" si="2"/>
        <v>1235.58</v>
      </c>
    </row>
    <row r="54" spans="1:4" x14ac:dyDescent="0.2">
      <c r="A54" s="3" t="s">
        <v>92</v>
      </c>
      <c r="B54" s="5">
        <f>3949.67</f>
        <v>3949.67</v>
      </c>
      <c r="C54" s="4"/>
      <c r="D54" s="5">
        <f t="shared" si="2"/>
        <v>3949.67</v>
      </c>
    </row>
    <row r="55" spans="1:4" x14ac:dyDescent="0.2">
      <c r="A55" s="3" t="s">
        <v>91</v>
      </c>
      <c r="B55" s="4"/>
      <c r="C55" s="5">
        <f>399.4</f>
        <v>399.4</v>
      </c>
      <c r="D55" s="5">
        <f t="shared" si="2"/>
        <v>-399.4</v>
      </c>
    </row>
    <row r="56" spans="1:4" x14ac:dyDescent="0.2">
      <c r="A56" s="3" t="s">
        <v>90</v>
      </c>
      <c r="B56" s="7">
        <f>((((((((((((((((((((((((((B25)+(B26))+(B27))+(B28))+(B29))+(B30))+(B31))+(B32))+(B33))+(B34))+(B35))+(B36))+(B37))+(B38))+(B43))+(B44))+(B45))+(B46))+(B47))+(B48))+(B49))+(B50))+(B51))+(B52))+(B53))+(B54))+(B55)</f>
        <v>271812.12</v>
      </c>
      <c r="C56" s="7">
        <f>((((((((((((((((((((((((((C25)+(C26))+(C27))+(C28))+(C29))+(C30))+(C31))+(C32))+(C33))+(C34))+(C35))+(C36))+(C37))+(C38))+(C43))+(C44))+(C45))+(C46))+(C47))+(C48))+(C49))+(C50))+(C51))+(C52))+(C53))+(C54))+(C55)</f>
        <v>88299.14</v>
      </c>
      <c r="D56" s="7">
        <f t="shared" si="2"/>
        <v>183512.97999999998</v>
      </c>
    </row>
    <row r="57" spans="1:4" x14ac:dyDescent="0.2">
      <c r="A57" s="3" t="s">
        <v>89</v>
      </c>
      <c r="B57" s="4"/>
      <c r="C57" s="4"/>
      <c r="D57" s="5">
        <f t="shared" si="2"/>
        <v>0</v>
      </c>
    </row>
    <row r="58" spans="1:4" x14ac:dyDescent="0.2">
      <c r="A58" s="3" t="s">
        <v>88</v>
      </c>
      <c r="B58" s="5">
        <f>715.3</f>
        <v>715.3</v>
      </c>
      <c r="C58" s="5">
        <f>699.85</f>
        <v>699.85</v>
      </c>
      <c r="D58" s="5">
        <f t="shared" si="2"/>
        <v>15.449999999999932</v>
      </c>
    </row>
    <row r="59" spans="1:4" x14ac:dyDescent="0.2">
      <c r="A59" s="3" t="s">
        <v>87</v>
      </c>
      <c r="B59" s="5">
        <f>221.45</f>
        <v>221.45</v>
      </c>
      <c r="C59" s="4"/>
      <c r="D59" s="5">
        <f t="shared" si="2"/>
        <v>221.45</v>
      </c>
    </row>
    <row r="60" spans="1:4" x14ac:dyDescent="0.2">
      <c r="A60" s="3" t="s">
        <v>86</v>
      </c>
      <c r="B60" s="5">
        <f>1013</f>
        <v>1013</v>
      </c>
      <c r="C60" s="5">
        <f>800.38</f>
        <v>800.38</v>
      </c>
      <c r="D60" s="5">
        <f t="shared" si="2"/>
        <v>212.62</v>
      </c>
    </row>
    <row r="61" spans="1:4" x14ac:dyDescent="0.2">
      <c r="A61" s="3" t="s">
        <v>85</v>
      </c>
      <c r="B61" s="7">
        <f>(((B57)+(B58))+(B59))+(B60)</f>
        <v>1949.75</v>
      </c>
      <c r="C61" s="7">
        <f>(((C57)+(C58))+(C59))+(C60)</f>
        <v>1500.23</v>
      </c>
      <c r="D61" s="7">
        <f t="shared" si="2"/>
        <v>449.52</v>
      </c>
    </row>
    <row r="62" spans="1:4" x14ac:dyDescent="0.2">
      <c r="A62" s="3" t="s">
        <v>84</v>
      </c>
      <c r="B62" s="4"/>
      <c r="C62" s="4"/>
      <c r="D62" s="5">
        <f t="shared" si="2"/>
        <v>0</v>
      </c>
    </row>
    <row r="63" spans="1:4" x14ac:dyDescent="0.2">
      <c r="A63" s="3" t="s">
        <v>83</v>
      </c>
      <c r="B63" s="5">
        <f>327.14</f>
        <v>327.14</v>
      </c>
      <c r="C63" s="5">
        <f>383.65</f>
        <v>383.65</v>
      </c>
      <c r="D63" s="5">
        <f t="shared" si="2"/>
        <v>-56.509999999999991</v>
      </c>
    </row>
    <row r="64" spans="1:4" x14ac:dyDescent="0.2">
      <c r="A64" s="3" t="s">
        <v>82</v>
      </c>
      <c r="B64" s="4"/>
      <c r="C64" s="5">
        <f>41023</f>
        <v>41023</v>
      </c>
      <c r="D64" s="5">
        <f t="shared" si="2"/>
        <v>-41023</v>
      </c>
    </row>
    <row r="65" spans="1:4" x14ac:dyDescent="0.2">
      <c r="A65" s="3" t="s">
        <v>81</v>
      </c>
      <c r="B65" s="4"/>
      <c r="C65" s="5">
        <f>1500</f>
        <v>1500</v>
      </c>
      <c r="D65" s="5">
        <f t="shared" si="2"/>
        <v>-1500</v>
      </c>
    </row>
    <row r="66" spans="1:4" x14ac:dyDescent="0.2">
      <c r="A66" s="3" t="s">
        <v>80</v>
      </c>
      <c r="B66" s="5">
        <f>15000</f>
        <v>15000</v>
      </c>
      <c r="C66" s="5">
        <f>18000</f>
        <v>18000</v>
      </c>
      <c r="D66" s="5">
        <f t="shared" si="2"/>
        <v>-3000</v>
      </c>
    </row>
    <row r="67" spans="1:4" x14ac:dyDescent="0.2">
      <c r="A67" s="3" t="s">
        <v>79</v>
      </c>
      <c r="B67" s="5">
        <f>10000</f>
        <v>10000</v>
      </c>
      <c r="C67" s="5">
        <f>5000</f>
        <v>5000</v>
      </c>
      <c r="D67" s="5">
        <f t="shared" si="2"/>
        <v>5000</v>
      </c>
    </row>
    <row r="68" spans="1:4" x14ac:dyDescent="0.2">
      <c r="A68" s="3" t="s">
        <v>78</v>
      </c>
      <c r="B68" s="5">
        <f>5989.5</f>
        <v>5989.5</v>
      </c>
      <c r="C68" s="5">
        <f>3432</f>
        <v>3432</v>
      </c>
      <c r="D68" s="5">
        <f t="shared" si="2"/>
        <v>2557.5</v>
      </c>
    </row>
    <row r="69" spans="1:4" x14ac:dyDescent="0.2">
      <c r="A69" s="3" t="s">
        <v>77</v>
      </c>
      <c r="B69" s="5">
        <f>56700</f>
        <v>56700</v>
      </c>
      <c r="C69" s="5">
        <f>21000</f>
        <v>21000</v>
      </c>
      <c r="D69" s="5">
        <f t="shared" si="2"/>
        <v>35700</v>
      </c>
    </row>
    <row r="70" spans="1:4" x14ac:dyDescent="0.2">
      <c r="A70" s="3" t="s">
        <v>76</v>
      </c>
      <c r="B70" s="5">
        <f>1600</f>
        <v>1600</v>
      </c>
      <c r="C70" s="4"/>
      <c r="D70" s="5">
        <f t="shared" si="2"/>
        <v>1600</v>
      </c>
    </row>
    <row r="71" spans="1:4" x14ac:dyDescent="0.2">
      <c r="A71" s="3" t="s">
        <v>75</v>
      </c>
      <c r="B71" s="5">
        <f>10700</f>
        <v>10700</v>
      </c>
      <c r="C71" s="4"/>
      <c r="D71" s="5">
        <f t="shared" si="2"/>
        <v>10700</v>
      </c>
    </row>
    <row r="72" spans="1:4" x14ac:dyDescent="0.2">
      <c r="A72" s="3" t="s">
        <v>74</v>
      </c>
      <c r="B72" s="5">
        <f>676.5</f>
        <v>676.5</v>
      </c>
      <c r="C72" s="5">
        <f>841.5</f>
        <v>841.5</v>
      </c>
      <c r="D72" s="5">
        <f t="shared" si="2"/>
        <v>-165</v>
      </c>
    </row>
    <row r="73" spans="1:4" x14ac:dyDescent="0.2">
      <c r="A73" s="3" t="s">
        <v>73</v>
      </c>
      <c r="B73" s="5">
        <f>3342.5</f>
        <v>3342.5</v>
      </c>
      <c r="C73" s="5">
        <f>18046.29</f>
        <v>18046.29</v>
      </c>
      <c r="D73" s="5">
        <f t="shared" si="2"/>
        <v>-14703.79</v>
      </c>
    </row>
    <row r="74" spans="1:4" x14ac:dyDescent="0.2">
      <c r="A74" s="3" t="s">
        <v>72</v>
      </c>
      <c r="B74" s="5">
        <f>1625</f>
        <v>1625</v>
      </c>
      <c r="C74" s="5">
        <f>3000</f>
        <v>3000</v>
      </c>
      <c r="D74" s="5">
        <f t="shared" si="2"/>
        <v>-1375</v>
      </c>
    </row>
    <row r="75" spans="1:4" x14ac:dyDescent="0.2">
      <c r="A75" s="3" t="s">
        <v>71</v>
      </c>
      <c r="B75" s="5">
        <f>660</f>
        <v>660</v>
      </c>
      <c r="C75" s="5">
        <f>1732.5</f>
        <v>1732.5</v>
      </c>
      <c r="D75" s="5">
        <f t="shared" si="2"/>
        <v>-1072.5</v>
      </c>
    </row>
    <row r="76" spans="1:4" x14ac:dyDescent="0.2">
      <c r="A76" s="3" t="s">
        <v>70</v>
      </c>
      <c r="B76" s="5">
        <f>16175</f>
        <v>16175</v>
      </c>
      <c r="C76" s="4"/>
      <c r="D76" s="5">
        <f t="shared" si="2"/>
        <v>16175</v>
      </c>
    </row>
    <row r="77" spans="1:4" x14ac:dyDescent="0.2">
      <c r="A77" s="3" t="s">
        <v>69</v>
      </c>
      <c r="B77" s="7">
        <f>((((((((((((B64)+(B65))+(B66))+(B67))+(B68))+(B69))+(B70))+(B71))+(B72))+(B73))+(B74))+(B75))+(B76)</f>
        <v>122468.5</v>
      </c>
      <c r="C77" s="7">
        <f>((((((((((((C64)+(C65))+(C66))+(C67))+(C68))+(C69))+(C70))+(C71))+(C72))+(C73))+(C74))+(C75))+(C76)</f>
        <v>113575.29000000001</v>
      </c>
      <c r="D77" s="7">
        <f t="shared" si="2"/>
        <v>8893.2099999999919</v>
      </c>
    </row>
    <row r="78" spans="1:4" x14ac:dyDescent="0.2">
      <c r="A78" s="3" t="s">
        <v>68</v>
      </c>
      <c r="B78" s="5">
        <f>1226.38</f>
        <v>1226.3800000000001</v>
      </c>
      <c r="C78" s="5">
        <f>13760.04</f>
        <v>13760.04</v>
      </c>
      <c r="D78" s="5">
        <f t="shared" si="2"/>
        <v>-12533.66</v>
      </c>
    </row>
    <row r="79" spans="1:4" x14ac:dyDescent="0.2">
      <c r="A79" s="3" t="s">
        <v>67</v>
      </c>
      <c r="B79" s="5">
        <f>3614.58</f>
        <v>3614.58</v>
      </c>
      <c r="C79" s="5">
        <f>3619.47</f>
        <v>3619.47</v>
      </c>
      <c r="D79" s="5">
        <f t="shared" si="2"/>
        <v>-4.8899999999998727</v>
      </c>
    </row>
    <row r="80" spans="1:4" x14ac:dyDescent="0.2">
      <c r="A80" s="3" t="s">
        <v>66</v>
      </c>
      <c r="B80" s="5">
        <f>879.49</f>
        <v>879.49</v>
      </c>
      <c r="C80" s="5">
        <f>2982.6</f>
        <v>2982.6</v>
      </c>
      <c r="D80" s="5">
        <f t="shared" si="2"/>
        <v>-2103.1099999999997</v>
      </c>
    </row>
    <row r="81" spans="1:4" x14ac:dyDescent="0.2">
      <c r="A81" s="3" t="s">
        <v>65</v>
      </c>
      <c r="B81" s="5">
        <f>52</f>
        <v>52</v>
      </c>
      <c r="C81" s="5">
        <f>167.48</f>
        <v>167.48</v>
      </c>
      <c r="D81" s="5">
        <f t="shared" si="2"/>
        <v>-115.47999999999999</v>
      </c>
    </row>
    <row r="82" spans="1:4" x14ac:dyDescent="0.2">
      <c r="A82" s="3" t="s">
        <v>64</v>
      </c>
      <c r="B82" s="4"/>
      <c r="C82" s="5">
        <f>3725</f>
        <v>3725</v>
      </c>
      <c r="D82" s="5">
        <f t="shared" si="2"/>
        <v>-3725</v>
      </c>
    </row>
    <row r="83" spans="1:4" x14ac:dyDescent="0.2">
      <c r="A83" s="3" t="s">
        <v>63</v>
      </c>
      <c r="B83" s="5">
        <f>1475</f>
        <v>1475</v>
      </c>
      <c r="C83" s="5">
        <f>1475</f>
        <v>1475</v>
      </c>
      <c r="D83" s="5">
        <f t="shared" si="2"/>
        <v>0</v>
      </c>
    </row>
    <row r="84" spans="1:4" x14ac:dyDescent="0.2">
      <c r="A84" s="3" t="s">
        <v>62</v>
      </c>
      <c r="B84" s="4"/>
      <c r="C84" s="5">
        <f>6000</f>
        <v>6000</v>
      </c>
      <c r="D84" s="5">
        <f t="shared" ref="D84:D115" si="3">(B84)-(C84)</f>
        <v>-6000</v>
      </c>
    </row>
    <row r="85" spans="1:4" x14ac:dyDescent="0.2">
      <c r="A85" s="3" t="s">
        <v>61</v>
      </c>
      <c r="B85" s="5">
        <f>180</f>
        <v>180</v>
      </c>
      <c r="C85" s="5">
        <f>19824</f>
        <v>19824</v>
      </c>
      <c r="D85" s="5">
        <f t="shared" si="3"/>
        <v>-19644</v>
      </c>
    </row>
    <row r="86" spans="1:4" x14ac:dyDescent="0.2">
      <c r="A86" s="3" t="s">
        <v>60</v>
      </c>
      <c r="B86" s="7">
        <f>(((B82)+(B83))+(B84))+(B85)</f>
        <v>1655</v>
      </c>
      <c r="C86" s="7">
        <f>(((C82)+(C83))+(C84))+(C85)</f>
        <v>31024</v>
      </c>
      <c r="D86" s="7">
        <f t="shared" si="3"/>
        <v>-29369</v>
      </c>
    </row>
    <row r="87" spans="1:4" x14ac:dyDescent="0.2">
      <c r="A87" s="3" t="s">
        <v>59</v>
      </c>
      <c r="B87" s="5">
        <f>3562.48</f>
        <v>3562.48</v>
      </c>
      <c r="C87" s="5">
        <f>306.19</f>
        <v>306.19</v>
      </c>
      <c r="D87" s="5">
        <f t="shared" si="3"/>
        <v>3256.29</v>
      </c>
    </row>
    <row r="88" spans="1:4" x14ac:dyDescent="0.2">
      <c r="A88" s="3" t="s">
        <v>58</v>
      </c>
      <c r="B88" s="4"/>
      <c r="C88" s="5">
        <f>218.49</f>
        <v>218.49</v>
      </c>
      <c r="D88" s="5">
        <f t="shared" si="3"/>
        <v>-218.49</v>
      </c>
    </row>
    <row r="89" spans="1:4" x14ac:dyDescent="0.2">
      <c r="A89" s="3" t="s">
        <v>57</v>
      </c>
      <c r="B89" s="5">
        <f>218.49</f>
        <v>218.49</v>
      </c>
      <c r="C89" s="4"/>
      <c r="D89" s="5">
        <f t="shared" si="3"/>
        <v>218.49</v>
      </c>
    </row>
    <row r="90" spans="1:4" x14ac:dyDescent="0.2">
      <c r="A90" s="3" t="s">
        <v>56</v>
      </c>
      <c r="B90" s="5">
        <f>13000</f>
        <v>13000</v>
      </c>
      <c r="C90" s="5">
        <f>18650</f>
        <v>18650</v>
      </c>
      <c r="D90" s="5">
        <f t="shared" si="3"/>
        <v>-5650</v>
      </c>
    </row>
    <row r="91" spans="1:4" x14ac:dyDescent="0.2">
      <c r="A91" s="3" t="s">
        <v>55</v>
      </c>
      <c r="B91" s="7">
        <f>((B88)+(B89))+(B90)</f>
        <v>13218.49</v>
      </c>
      <c r="C91" s="7">
        <f>((C88)+(C89))+(C90)</f>
        <v>18868.490000000002</v>
      </c>
      <c r="D91" s="7">
        <f t="shared" si="3"/>
        <v>-5650.0000000000018</v>
      </c>
    </row>
    <row r="92" spans="1:4" x14ac:dyDescent="0.2">
      <c r="A92" s="3" t="s">
        <v>54</v>
      </c>
      <c r="B92" s="7">
        <f>(((((((((B62)+(B63))+(B77))+(B78))+(B79))+(B80))+(B81))+(B86))+(B87))+(B91)</f>
        <v>147004.06</v>
      </c>
      <c r="C92" s="7">
        <f>(((((((((C62)+(C63))+(C77))+(C78))+(C79))+(C80))+(C81))+(C86))+(C87))+(C91)</f>
        <v>184687.21000000002</v>
      </c>
      <c r="D92" s="7">
        <f t="shared" si="3"/>
        <v>-37683.150000000023</v>
      </c>
    </row>
    <row r="93" spans="1:4" x14ac:dyDescent="0.2">
      <c r="A93" s="3" t="s">
        <v>53</v>
      </c>
      <c r="B93" s="4"/>
      <c r="C93" s="4"/>
      <c r="D93" s="5">
        <f t="shared" si="3"/>
        <v>0</v>
      </c>
    </row>
    <row r="94" spans="1:4" x14ac:dyDescent="0.2">
      <c r="A94" s="3" t="s">
        <v>52</v>
      </c>
      <c r="B94" s="5">
        <f>35888.94</f>
        <v>35888.94</v>
      </c>
      <c r="C94" s="5">
        <f>22063.32</f>
        <v>22063.32</v>
      </c>
      <c r="D94" s="5">
        <f t="shared" si="3"/>
        <v>13825.620000000003</v>
      </c>
    </row>
    <row r="95" spans="1:4" x14ac:dyDescent="0.2">
      <c r="A95" s="3" t="s">
        <v>51</v>
      </c>
      <c r="B95" s="5">
        <f>602.25</f>
        <v>602.25</v>
      </c>
      <c r="C95" s="5">
        <f>373.23</f>
        <v>373.23</v>
      </c>
      <c r="D95" s="5">
        <f t="shared" si="3"/>
        <v>229.01999999999998</v>
      </c>
    </row>
    <row r="96" spans="1:4" x14ac:dyDescent="0.2">
      <c r="A96" s="3" t="s">
        <v>50</v>
      </c>
      <c r="B96" s="4"/>
      <c r="C96" s="5">
        <f>1891.11</f>
        <v>1891.11</v>
      </c>
      <c r="D96" s="5">
        <f t="shared" si="3"/>
        <v>-1891.11</v>
      </c>
    </row>
    <row r="97" spans="1:4" x14ac:dyDescent="0.2">
      <c r="A97" s="3" t="s">
        <v>49</v>
      </c>
      <c r="B97" s="5">
        <f>-9664.27</f>
        <v>-9664.27</v>
      </c>
      <c r="C97" s="5">
        <f>356550.85</f>
        <v>356550.85</v>
      </c>
      <c r="D97" s="5">
        <f t="shared" si="3"/>
        <v>-366215.12</v>
      </c>
    </row>
    <row r="98" spans="1:4" x14ac:dyDescent="0.2">
      <c r="A98" s="3" t="s">
        <v>48</v>
      </c>
      <c r="B98" s="5">
        <f>6879.25</f>
        <v>6879.25</v>
      </c>
      <c r="C98" s="5">
        <f>13186.7</f>
        <v>13186.7</v>
      </c>
      <c r="D98" s="5">
        <f t="shared" si="3"/>
        <v>-6307.4500000000007</v>
      </c>
    </row>
    <row r="99" spans="1:4" x14ac:dyDescent="0.2">
      <c r="A99" s="3" t="s">
        <v>47</v>
      </c>
      <c r="B99" s="5">
        <f>253.8</f>
        <v>253.8</v>
      </c>
      <c r="C99" s="5">
        <f>196.85</f>
        <v>196.85</v>
      </c>
      <c r="D99" s="5">
        <f t="shared" si="3"/>
        <v>56.950000000000017</v>
      </c>
    </row>
    <row r="100" spans="1:4" x14ac:dyDescent="0.2">
      <c r="A100" s="3" t="s">
        <v>46</v>
      </c>
      <c r="B100" s="7">
        <f>((((((B93)+(B94))+(B95))+(B96))+(B97))+(B98))+(B99)</f>
        <v>33959.97</v>
      </c>
      <c r="C100" s="7">
        <f>((((((C93)+(C94))+(C95))+(C96))+(C97))+(C98))+(C99)</f>
        <v>394262.05999999994</v>
      </c>
      <c r="D100" s="7">
        <f t="shared" si="3"/>
        <v>-360302.08999999997</v>
      </c>
    </row>
    <row r="101" spans="1:4" x14ac:dyDescent="0.2">
      <c r="A101" s="3" t="s">
        <v>45</v>
      </c>
      <c r="B101" s="4"/>
      <c r="C101" s="4"/>
      <c r="D101" s="5">
        <f t="shared" si="3"/>
        <v>0</v>
      </c>
    </row>
    <row r="102" spans="1:4" x14ac:dyDescent="0.2">
      <c r="A102" s="3" t="s">
        <v>44</v>
      </c>
      <c r="B102" s="4"/>
      <c r="C102" s="5">
        <f>183.38</f>
        <v>183.38</v>
      </c>
      <c r="D102" s="5">
        <f t="shared" si="3"/>
        <v>-183.38</v>
      </c>
    </row>
    <row r="103" spans="1:4" x14ac:dyDescent="0.2">
      <c r="A103" s="3" t="s">
        <v>43</v>
      </c>
      <c r="B103" s="5">
        <f>1500</f>
        <v>1500</v>
      </c>
      <c r="C103" s="5">
        <f>600</f>
        <v>600</v>
      </c>
      <c r="D103" s="5">
        <f t="shared" si="3"/>
        <v>900</v>
      </c>
    </row>
    <row r="104" spans="1:4" x14ac:dyDescent="0.2">
      <c r="A104" s="3" t="s">
        <v>42</v>
      </c>
      <c r="B104" s="5">
        <f>970.47</f>
        <v>970.47</v>
      </c>
      <c r="C104" s="4"/>
      <c r="D104" s="5">
        <f t="shared" si="3"/>
        <v>970.47</v>
      </c>
    </row>
    <row r="105" spans="1:4" x14ac:dyDescent="0.2">
      <c r="A105" s="3" t="s">
        <v>41</v>
      </c>
      <c r="B105" s="4"/>
      <c r="C105" s="5">
        <f>135</f>
        <v>135</v>
      </c>
      <c r="D105" s="5">
        <f t="shared" si="3"/>
        <v>-135</v>
      </c>
    </row>
    <row r="106" spans="1:4" x14ac:dyDescent="0.2">
      <c r="A106" s="3" t="s">
        <v>40</v>
      </c>
      <c r="B106" s="5">
        <f>5220</f>
        <v>5220</v>
      </c>
      <c r="C106" s="5">
        <f>14445</f>
        <v>14445</v>
      </c>
      <c r="D106" s="5">
        <f t="shared" si="3"/>
        <v>-9225</v>
      </c>
    </row>
    <row r="107" spans="1:4" x14ac:dyDescent="0.2">
      <c r="A107" s="3" t="s">
        <v>39</v>
      </c>
      <c r="B107" s="4"/>
      <c r="C107" s="5">
        <f>5783.7</f>
        <v>5783.7</v>
      </c>
      <c r="D107" s="5">
        <f t="shared" si="3"/>
        <v>-5783.7</v>
      </c>
    </row>
    <row r="108" spans="1:4" x14ac:dyDescent="0.2">
      <c r="A108" s="3" t="s">
        <v>38</v>
      </c>
      <c r="B108" s="5">
        <f>1413.44</f>
        <v>1413.44</v>
      </c>
      <c r="C108" s="5">
        <f>4000</f>
        <v>4000</v>
      </c>
      <c r="D108" s="5">
        <f t="shared" si="3"/>
        <v>-2586.56</v>
      </c>
    </row>
    <row r="109" spans="1:4" x14ac:dyDescent="0.2">
      <c r="A109" s="3" t="s">
        <v>37</v>
      </c>
      <c r="B109" s="4"/>
      <c r="C109" s="5">
        <f>29131.97</f>
        <v>29131.97</v>
      </c>
      <c r="D109" s="5">
        <f t="shared" si="3"/>
        <v>-29131.97</v>
      </c>
    </row>
    <row r="110" spans="1:4" x14ac:dyDescent="0.2">
      <c r="A110" s="3" t="s">
        <v>36</v>
      </c>
      <c r="B110" s="5">
        <f>450</f>
        <v>450</v>
      </c>
      <c r="C110" s="5">
        <f>150</f>
        <v>150</v>
      </c>
      <c r="D110" s="5">
        <f t="shared" si="3"/>
        <v>300</v>
      </c>
    </row>
    <row r="111" spans="1:4" x14ac:dyDescent="0.2">
      <c r="A111" s="3" t="s">
        <v>35</v>
      </c>
      <c r="B111" s="4"/>
      <c r="C111" s="5">
        <f>64.99</f>
        <v>64.989999999999995</v>
      </c>
      <c r="D111" s="5">
        <f t="shared" si="3"/>
        <v>-64.989999999999995</v>
      </c>
    </row>
    <row r="112" spans="1:4" x14ac:dyDescent="0.2">
      <c r="A112" s="3" t="s">
        <v>34</v>
      </c>
      <c r="B112" s="7">
        <f>((((((((((B101)+(B102))+(B103))+(B104))+(B105))+(B106))+(B107))+(B108))+(B109))+(B110))+(B111)</f>
        <v>9553.91</v>
      </c>
      <c r="C112" s="7">
        <f>((((((((((C101)+(C102))+(C103))+(C104))+(C105))+(C106))+(C107))+(C108))+(C109))+(C110))+(C111)</f>
        <v>54494.04</v>
      </c>
      <c r="D112" s="7">
        <f t="shared" si="3"/>
        <v>-44940.130000000005</v>
      </c>
    </row>
    <row r="113" spans="1:4" x14ac:dyDescent="0.2">
      <c r="A113" s="3" t="s">
        <v>33</v>
      </c>
      <c r="B113" s="7">
        <f>(((((B24)+(B56))+(B61))+(B92))+(B100))+(B112)</f>
        <v>464279.81</v>
      </c>
      <c r="C113" s="7">
        <f>(((((C24)+(C56))+(C61))+(C92))+(C100))+(C112)</f>
        <v>753242.67999999993</v>
      </c>
      <c r="D113" s="7">
        <f t="shared" si="3"/>
        <v>-288962.86999999994</v>
      </c>
    </row>
    <row r="114" spans="1:4" x14ac:dyDescent="0.2">
      <c r="A114" s="3" t="s">
        <v>32</v>
      </c>
      <c r="B114" s="7">
        <f>(B18)-(B113)</f>
        <v>-209117.77</v>
      </c>
      <c r="C114" s="7">
        <f>(C18)-(C113)</f>
        <v>-727320.24999999988</v>
      </c>
      <c r="D114" s="7">
        <f t="shared" si="3"/>
        <v>518202.47999999986</v>
      </c>
    </row>
    <row r="115" spans="1:4" x14ac:dyDescent="0.2">
      <c r="A115" s="3" t="s">
        <v>31</v>
      </c>
      <c r="B115" s="4"/>
      <c r="C115" s="4"/>
      <c r="D115" s="4"/>
    </row>
    <row r="116" spans="1:4" x14ac:dyDescent="0.2">
      <c r="A116" s="3" t="s">
        <v>30</v>
      </c>
      <c r="B116" s="5">
        <f>2377.38</f>
        <v>2377.38</v>
      </c>
      <c r="C116" s="5">
        <f>7362.03</f>
        <v>7362.03</v>
      </c>
      <c r="D116" s="5">
        <f>(B116)-(C116)</f>
        <v>-4984.6499999999996</v>
      </c>
    </row>
    <row r="117" spans="1:4" x14ac:dyDescent="0.2">
      <c r="A117" s="3" t="s">
        <v>29</v>
      </c>
      <c r="B117" s="5">
        <f>34.77</f>
        <v>34.770000000000003</v>
      </c>
      <c r="C117" s="4"/>
      <c r="D117" s="5">
        <f>(B117)-(C117)</f>
        <v>34.770000000000003</v>
      </c>
    </row>
    <row r="118" spans="1:4" x14ac:dyDescent="0.2">
      <c r="A118" s="3" t="s">
        <v>28</v>
      </c>
      <c r="B118" s="7">
        <f>(B116)+(B117)</f>
        <v>2412.15</v>
      </c>
      <c r="C118" s="7">
        <f>(C116)+(C117)</f>
        <v>7362.03</v>
      </c>
      <c r="D118" s="7">
        <f>(B118)-(C118)</f>
        <v>-4949.8799999999992</v>
      </c>
    </row>
    <row r="119" spans="1:4" x14ac:dyDescent="0.2">
      <c r="A119" s="3" t="s">
        <v>27</v>
      </c>
      <c r="B119" s="4"/>
      <c r="C119" s="4"/>
      <c r="D119" s="4"/>
    </row>
    <row r="120" spans="1:4" x14ac:dyDescent="0.2">
      <c r="A120" s="3" t="s">
        <v>26</v>
      </c>
      <c r="B120" s="5">
        <f>100000</f>
        <v>100000</v>
      </c>
      <c r="C120" s="4"/>
      <c r="D120" s="5">
        <f t="shared" ref="D120:D126" si="4">(B120)-(C120)</f>
        <v>100000</v>
      </c>
    </row>
    <row r="121" spans="1:4" x14ac:dyDescent="0.2">
      <c r="A121" s="3" t="s">
        <v>25</v>
      </c>
      <c r="B121" s="5">
        <f>200</f>
        <v>200</v>
      </c>
      <c r="C121" s="4"/>
      <c r="D121" s="5">
        <f t="shared" si="4"/>
        <v>200</v>
      </c>
    </row>
    <row r="122" spans="1:4" x14ac:dyDescent="0.2">
      <c r="A122" s="3" t="s">
        <v>24</v>
      </c>
      <c r="B122" s="7">
        <f>(B120)+(B121)</f>
        <v>100200</v>
      </c>
      <c r="C122" s="7">
        <f>(C120)+(C121)</f>
        <v>0</v>
      </c>
      <c r="D122" s="7">
        <f t="shared" si="4"/>
        <v>100200</v>
      </c>
    </row>
    <row r="123" spans="1:4" x14ac:dyDescent="0.2">
      <c r="A123" s="3" t="s">
        <v>23</v>
      </c>
      <c r="B123" s="4"/>
      <c r="C123" s="5">
        <f>122306.91</f>
        <v>122306.91</v>
      </c>
      <c r="D123" s="5">
        <f t="shared" si="4"/>
        <v>-122306.91</v>
      </c>
    </row>
    <row r="124" spans="1:4" x14ac:dyDescent="0.2">
      <c r="A124" s="3" t="s">
        <v>22</v>
      </c>
      <c r="B124" s="7">
        <f>(B122)+(B123)</f>
        <v>100200</v>
      </c>
      <c r="C124" s="7">
        <f>(C122)+(C123)</f>
        <v>122306.91</v>
      </c>
      <c r="D124" s="7">
        <f t="shared" si="4"/>
        <v>-22106.910000000003</v>
      </c>
    </row>
    <row r="125" spans="1:4" x14ac:dyDescent="0.2">
      <c r="A125" s="3" t="s">
        <v>21</v>
      </c>
      <c r="B125" s="7">
        <f>(B118)-(B124)</f>
        <v>-97787.85</v>
      </c>
      <c r="C125" s="7">
        <f>(C118)-(C124)</f>
        <v>-114944.88</v>
      </c>
      <c r="D125" s="7">
        <f t="shared" si="4"/>
        <v>17157.03</v>
      </c>
    </row>
    <row r="126" spans="1:4" x14ac:dyDescent="0.2">
      <c r="A126" s="3" t="s">
        <v>20</v>
      </c>
      <c r="B126" s="7">
        <f>(B114)+(B125)</f>
        <v>-306905.62</v>
      </c>
      <c r="C126" s="7">
        <f>(C114)+(C125)</f>
        <v>-842265.12999999989</v>
      </c>
      <c r="D126" s="7">
        <f t="shared" si="4"/>
        <v>535359.50999999989</v>
      </c>
    </row>
    <row r="127" spans="1:4" x14ac:dyDescent="0.2">
      <c r="A127" s="3"/>
      <c r="B127" s="4"/>
      <c r="C127" s="4"/>
      <c r="D127" s="4"/>
    </row>
    <row r="130" spans="1:4" x14ac:dyDescent="0.2">
      <c r="A130" s="8" t="s">
        <v>19</v>
      </c>
      <c r="B130" s="9"/>
      <c r="C130" s="9"/>
      <c r="D130" s="9"/>
    </row>
  </sheetData>
  <mergeCells count="5">
    <mergeCell ref="B5:D5"/>
    <mergeCell ref="A130:D130"/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opLeftCell="A3" workbookViewId="0">
      <selection sqref="A1:B1"/>
    </sheetView>
  </sheetViews>
  <sheetFormatPr baseColWidth="10" defaultColWidth="8.83203125" defaultRowHeight="15" x14ac:dyDescent="0.2"/>
  <cols>
    <col min="1" max="1" width="69.5" customWidth="1"/>
    <col min="2" max="2" width="20.5" customWidth="1"/>
  </cols>
  <sheetData>
    <row r="1" spans="1:2" ht="18" x14ac:dyDescent="0.2">
      <c r="A1" s="10" t="s">
        <v>16</v>
      </c>
      <c r="B1" s="9"/>
    </row>
    <row r="2" spans="1:2" ht="18" x14ac:dyDescent="0.2">
      <c r="A2" s="10" t="s">
        <v>17</v>
      </c>
      <c r="B2" s="9"/>
    </row>
    <row r="3" spans="1:2" x14ac:dyDescent="0.2">
      <c r="A3" s="11" t="s">
        <v>18</v>
      </c>
      <c r="B3" s="9"/>
    </row>
    <row r="5" spans="1:2" x14ac:dyDescent="0.2">
      <c r="A5" s="1"/>
      <c r="B5" s="2" t="s">
        <v>0</v>
      </c>
    </row>
    <row r="6" spans="1:2" x14ac:dyDescent="0.2">
      <c r="A6" s="3" t="s">
        <v>1</v>
      </c>
      <c r="B6" s="4"/>
    </row>
    <row r="7" spans="1:2" x14ac:dyDescent="0.2">
      <c r="A7" s="3" t="s">
        <v>2</v>
      </c>
      <c r="B7" s="5">
        <f>-204045.62</f>
        <v>-204045.62</v>
      </c>
    </row>
    <row r="8" spans="1:2" x14ac:dyDescent="0.2">
      <c r="A8" s="3" t="s">
        <v>3</v>
      </c>
      <c r="B8" s="4"/>
    </row>
    <row r="9" spans="1:2" x14ac:dyDescent="0.2">
      <c r="A9" s="3" t="s">
        <v>4</v>
      </c>
      <c r="B9" s="5">
        <f>25140</f>
        <v>25140</v>
      </c>
    </row>
    <row r="10" spans="1:2" x14ac:dyDescent="0.2">
      <c r="A10" s="3" t="s">
        <v>5</v>
      </c>
      <c r="B10" s="5">
        <f>8444.88</f>
        <v>8444.8799999999992</v>
      </c>
    </row>
    <row r="11" spans="1:2" x14ac:dyDescent="0.2">
      <c r="A11" s="3" t="s">
        <v>6</v>
      </c>
      <c r="B11" s="5">
        <f>-128000</f>
        <v>-128000</v>
      </c>
    </row>
    <row r="12" spans="1:2" x14ac:dyDescent="0.2">
      <c r="A12" s="3" t="s">
        <v>7</v>
      </c>
      <c r="B12" s="5">
        <f>-2438.13</f>
        <v>-2438.13</v>
      </c>
    </row>
    <row r="13" spans="1:2" x14ac:dyDescent="0.2">
      <c r="A13" s="3" t="s">
        <v>8</v>
      </c>
      <c r="B13" s="5">
        <f>-5393.01</f>
        <v>-5393.01</v>
      </c>
    </row>
    <row r="14" spans="1:2" x14ac:dyDescent="0.2">
      <c r="A14" s="3" t="s">
        <v>9</v>
      </c>
      <c r="B14" s="5">
        <f>-95858</f>
        <v>-95858</v>
      </c>
    </row>
    <row r="15" spans="1:2" x14ac:dyDescent="0.2">
      <c r="A15" s="3" t="s">
        <v>10</v>
      </c>
      <c r="B15" s="6">
        <f>((((((B8)+(B9))+(B10))+(B11))+(B12))+(B13))+(B14)</f>
        <v>-198104.26</v>
      </c>
    </row>
    <row r="16" spans="1:2" x14ac:dyDescent="0.2">
      <c r="A16" s="3" t="s">
        <v>11</v>
      </c>
      <c r="B16" s="6">
        <f>(B7)+(B15)</f>
        <v>-402149.88</v>
      </c>
    </row>
    <row r="17" spans="1:2" x14ac:dyDescent="0.2">
      <c r="A17" s="3" t="s">
        <v>12</v>
      </c>
      <c r="B17" s="6">
        <f>B16</f>
        <v>-402149.88</v>
      </c>
    </row>
    <row r="18" spans="1:2" x14ac:dyDescent="0.2">
      <c r="A18" s="3" t="s">
        <v>13</v>
      </c>
      <c r="B18" s="5">
        <f>2665616.98</f>
        <v>2665616.98</v>
      </c>
    </row>
    <row r="19" spans="1:2" x14ac:dyDescent="0.2">
      <c r="A19" s="3" t="s">
        <v>14</v>
      </c>
      <c r="B19" s="7">
        <f>(B17)+(B18)</f>
        <v>2263467.1</v>
      </c>
    </row>
    <row r="20" spans="1:2" x14ac:dyDescent="0.2">
      <c r="A20" s="3"/>
      <c r="B20" s="4"/>
    </row>
    <row r="23" spans="1:2" x14ac:dyDescent="0.2">
      <c r="A23" s="8" t="s">
        <v>15</v>
      </c>
      <c r="B23" s="9"/>
    </row>
  </sheetData>
  <mergeCells count="4">
    <mergeCell ref="A23:B23"/>
    <mergeCell ref="A1:B1"/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800B5-C4E6-4617-81A5-59F5E724F6A5}">
  <dimension ref="A1:B40"/>
  <sheetViews>
    <sheetView workbookViewId="0">
      <selection sqref="A1:B1"/>
    </sheetView>
  </sheetViews>
  <sheetFormatPr baseColWidth="10" defaultColWidth="8.83203125" defaultRowHeight="15" x14ac:dyDescent="0.2"/>
  <cols>
    <col min="1" max="1" width="35.33203125" customWidth="1"/>
    <col min="2" max="2" width="12.83203125" customWidth="1"/>
  </cols>
  <sheetData>
    <row r="1" spans="1:2" ht="18" x14ac:dyDescent="0.2">
      <c r="A1" s="10" t="s">
        <v>16</v>
      </c>
      <c r="B1" s="9"/>
    </row>
    <row r="2" spans="1:2" ht="18" x14ac:dyDescent="0.2">
      <c r="A2" s="10" t="s">
        <v>179</v>
      </c>
      <c r="B2" s="9"/>
    </row>
    <row r="3" spans="1:2" x14ac:dyDescent="0.2">
      <c r="A3" s="11" t="s">
        <v>178</v>
      </c>
      <c r="B3" s="9"/>
    </row>
    <row r="5" spans="1:2" x14ac:dyDescent="0.2">
      <c r="A5" s="1"/>
      <c r="B5" s="2" t="s">
        <v>0</v>
      </c>
    </row>
    <row r="6" spans="1:2" x14ac:dyDescent="0.2">
      <c r="A6" s="3" t="s">
        <v>177</v>
      </c>
      <c r="B6" s="4"/>
    </row>
    <row r="7" spans="1:2" x14ac:dyDescent="0.2">
      <c r="A7" s="3" t="s">
        <v>176</v>
      </c>
      <c r="B7" s="4"/>
    </row>
    <row r="8" spans="1:2" x14ac:dyDescent="0.2">
      <c r="A8" s="3" t="s">
        <v>175</v>
      </c>
      <c r="B8" s="4"/>
    </row>
    <row r="9" spans="1:2" x14ac:dyDescent="0.2">
      <c r="A9" s="3" t="s">
        <v>174</v>
      </c>
      <c r="B9" s="5">
        <f>528495.66</f>
        <v>528495.66</v>
      </c>
    </row>
    <row r="10" spans="1:2" x14ac:dyDescent="0.2">
      <c r="A10" s="3" t="s">
        <v>173</v>
      </c>
      <c r="B10" s="5">
        <f>534786.19</f>
        <v>534786.18999999994</v>
      </c>
    </row>
    <row r="11" spans="1:2" x14ac:dyDescent="0.2">
      <c r="A11" s="3" t="s">
        <v>172</v>
      </c>
      <c r="B11" s="5">
        <f>1200185.25</f>
        <v>1200185.25</v>
      </c>
    </row>
    <row r="12" spans="1:2" x14ac:dyDescent="0.2">
      <c r="A12" s="3" t="s">
        <v>171</v>
      </c>
      <c r="B12" s="7">
        <f>((B9)+(B10))+(B11)</f>
        <v>2263467.1</v>
      </c>
    </row>
    <row r="13" spans="1:2" x14ac:dyDescent="0.2">
      <c r="A13" s="3" t="s">
        <v>170</v>
      </c>
      <c r="B13" s="4"/>
    </row>
    <row r="14" spans="1:2" x14ac:dyDescent="0.2">
      <c r="A14" s="3" t="s">
        <v>169</v>
      </c>
      <c r="B14" s="5">
        <f>7017</f>
        <v>7017</v>
      </c>
    </row>
    <row r="15" spans="1:2" x14ac:dyDescent="0.2">
      <c r="A15" s="3" t="s">
        <v>168</v>
      </c>
      <c r="B15" s="7">
        <f>B14</f>
        <v>7017</v>
      </c>
    </row>
    <row r="16" spans="1:2" x14ac:dyDescent="0.2">
      <c r="A16" s="3" t="s">
        <v>167</v>
      </c>
      <c r="B16" s="7">
        <f>(B12)+(B15)</f>
        <v>2270484.1</v>
      </c>
    </row>
    <row r="17" spans="1:2" x14ac:dyDescent="0.2">
      <c r="A17" s="3" t="s">
        <v>166</v>
      </c>
      <c r="B17" s="7">
        <f>B16</f>
        <v>2270484.1</v>
      </c>
    </row>
    <row r="18" spans="1:2" x14ac:dyDescent="0.2">
      <c r="A18" s="3" t="s">
        <v>165</v>
      </c>
      <c r="B18" s="4"/>
    </row>
    <row r="19" spans="1:2" x14ac:dyDescent="0.2">
      <c r="A19" s="3" t="s">
        <v>164</v>
      </c>
      <c r="B19" s="4"/>
    </row>
    <row r="20" spans="1:2" x14ac:dyDescent="0.2">
      <c r="A20" s="3" t="s">
        <v>163</v>
      </c>
      <c r="B20" s="4"/>
    </row>
    <row r="21" spans="1:2" x14ac:dyDescent="0.2">
      <c r="A21" s="3" t="s">
        <v>162</v>
      </c>
      <c r="B21" s="4"/>
    </row>
    <row r="22" spans="1:2" x14ac:dyDescent="0.2">
      <c r="A22" s="3" t="s">
        <v>161</v>
      </c>
      <c r="B22" s="5">
        <f>0</f>
        <v>0</v>
      </c>
    </row>
    <row r="23" spans="1:2" x14ac:dyDescent="0.2">
      <c r="A23" s="3" t="s">
        <v>160</v>
      </c>
      <c r="B23" s="5">
        <f>179.46</f>
        <v>179.46</v>
      </c>
    </row>
    <row r="24" spans="1:2" x14ac:dyDescent="0.2">
      <c r="A24" s="3" t="s">
        <v>159</v>
      </c>
      <c r="B24" s="5">
        <f>1947.84</f>
        <v>1947.84</v>
      </c>
    </row>
    <row r="25" spans="1:2" x14ac:dyDescent="0.2">
      <c r="A25" s="3" t="s">
        <v>158</v>
      </c>
      <c r="B25" s="7">
        <f>((B22)+(B23))+(B24)</f>
        <v>2127.2999999999997</v>
      </c>
    </row>
    <row r="26" spans="1:2" x14ac:dyDescent="0.2">
      <c r="A26" s="3" t="s">
        <v>157</v>
      </c>
      <c r="B26" s="7">
        <f>B25</f>
        <v>2127.2999999999997</v>
      </c>
    </row>
    <row r="27" spans="1:2" x14ac:dyDescent="0.2">
      <c r="A27" s="3" t="s">
        <v>156</v>
      </c>
      <c r="B27" s="4"/>
    </row>
    <row r="28" spans="1:2" x14ac:dyDescent="0.2">
      <c r="A28" s="3" t="s">
        <v>155</v>
      </c>
      <c r="B28" s="5">
        <f>22651</f>
        <v>22651</v>
      </c>
    </row>
    <row r="29" spans="1:2" x14ac:dyDescent="0.2">
      <c r="A29" s="3" t="s">
        <v>154</v>
      </c>
      <c r="B29" s="7">
        <f>B28</f>
        <v>22651</v>
      </c>
    </row>
    <row r="30" spans="1:2" x14ac:dyDescent="0.2">
      <c r="A30" s="3" t="s">
        <v>153</v>
      </c>
      <c r="B30" s="7">
        <f>(B26)+(B29)</f>
        <v>24778.3</v>
      </c>
    </row>
    <row r="31" spans="1:2" x14ac:dyDescent="0.2">
      <c r="A31" s="3" t="s">
        <v>152</v>
      </c>
      <c r="B31" s="7">
        <f>B30</f>
        <v>24778.3</v>
      </c>
    </row>
    <row r="32" spans="1:2" x14ac:dyDescent="0.2">
      <c r="A32" s="3" t="s">
        <v>151</v>
      </c>
      <c r="B32" s="4"/>
    </row>
    <row r="33" spans="1:2" x14ac:dyDescent="0.2">
      <c r="A33" s="3" t="s">
        <v>150</v>
      </c>
      <c r="B33" s="5">
        <f>2889467.26</f>
        <v>2889467.26</v>
      </c>
    </row>
    <row r="34" spans="1:2" x14ac:dyDescent="0.2">
      <c r="A34" s="3" t="s">
        <v>149</v>
      </c>
      <c r="B34" s="5">
        <f>-643761.46</f>
        <v>-643761.46</v>
      </c>
    </row>
    <row r="35" spans="1:2" x14ac:dyDescent="0.2">
      <c r="A35" s="3" t="s">
        <v>148</v>
      </c>
      <c r="B35" s="7">
        <f>(B33)+(B34)</f>
        <v>2245705.7999999998</v>
      </c>
    </row>
    <row r="36" spans="1:2" x14ac:dyDescent="0.2">
      <c r="A36" s="3" t="s">
        <v>147</v>
      </c>
      <c r="B36" s="7">
        <f>(B31)+(B35)</f>
        <v>2270484.0999999996</v>
      </c>
    </row>
    <row r="37" spans="1:2" x14ac:dyDescent="0.2">
      <c r="A37" s="3"/>
      <c r="B37" s="4"/>
    </row>
    <row r="40" spans="1:2" x14ac:dyDescent="0.2">
      <c r="A40" s="8" t="s">
        <v>146</v>
      </c>
      <c r="B40" s="9"/>
    </row>
  </sheetData>
  <mergeCells count="4">
    <mergeCell ref="A40:B40"/>
    <mergeCell ref="A1:B1"/>
    <mergeCell ref="A2:B2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D5F4-1397-4126-BB6A-E804BF40EB8E}">
  <dimension ref="A1:D42"/>
  <sheetViews>
    <sheetView topLeftCell="A4" workbookViewId="0">
      <selection sqref="A1:D1"/>
    </sheetView>
  </sheetViews>
  <sheetFormatPr baseColWidth="10" defaultColWidth="8.83203125" defaultRowHeight="15" x14ac:dyDescent="0.2"/>
  <cols>
    <col min="1" max="1" width="35.33203125" customWidth="1"/>
    <col min="2" max="3" width="12" customWidth="1"/>
    <col min="4" max="4" width="13.6640625" customWidth="1"/>
  </cols>
  <sheetData>
    <row r="1" spans="1:4" ht="18" x14ac:dyDescent="0.2">
      <c r="A1" s="10" t="s">
        <v>16</v>
      </c>
      <c r="B1" s="9"/>
      <c r="C1" s="9"/>
      <c r="D1" s="9"/>
    </row>
    <row r="2" spans="1:4" ht="18" x14ac:dyDescent="0.2">
      <c r="A2" s="10" t="s">
        <v>184</v>
      </c>
      <c r="B2" s="9"/>
      <c r="C2" s="9"/>
      <c r="D2" s="9"/>
    </row>
    <row r="3" spans="1:4" x14ac:dyDescent="0.2">
      <c r="A3" s="11" t="s">
        <v>178</v>
      </c>
      <c r="B3" s="9"/>
      <c r="C3" s="9"/>
      <c r="D3" s="9"/>
    </row>
    <row r="5" spans="1:4" x14ac:dyDescent="0.2">
      <c r="A5" s="1"/>
      <c r="B5" s="12" t="s">
        <v>0</v>
      </c>
      <c r="C5" s="13"/>
      <c r="D5" s="13"/>
    </row>
    <row r="6" spans="1:4" ht="27" x14ac:dyDescent="0.2">
      <c r="A6" s="1"/>
      <c r="B6" s="2" t="s">
        <v>183</v>
      </c>
      <c r="C6" s="2" t="s">
        <v>182</v>
      </c>
      <c r="D6" s="2" t="s">
        <v>140</v>
      </c>
    </row>
    <row r="7" spans="1:4" x14ac:dyDescent="0.2">
      <c r="A7" s="3" t="s">
        <v>177</v>
      </c>
      <c r="B7" s="4"/>
      <c r="C7" s="4"/>
      <c r="D7" s="4"/>
    </row>
    <row r="8" spans="1:4" x14ac:dyDescent="0.2">
      <c r="A8" s="3" t="s">
        <v>176</v>
      </c>
      <c r="B8" s="4"/>
      <c r="C8" s="4"/>
      <c r="D8" s="4"/>
    </row>
    <row r="9" spans="1:4" x14ac:dyDescent="0.2">
      <c r="A9" s="3" t="s">
        <v>175</v>
      </c>
      <c r="B9" s="4"/>
      <c r="C9" s="4"/>
      <c r="D9" s="4"/>
    </row>
    <row r="10" spans="1:4" x14ac:dyDescent="0.2">
      <c r="A10" s="3" t="s">
        <v>174</v>
      </c>
      <c r="B10" s="5">
        <f>528495.66</f>
        <v>528495.66</v>
      </c>
      <c r="C10" s="5">
        <f>725505.5</f>
        <v>725505.5</v>
      </c>
      <c r="D10" s="5">
        <f>(B10)-(C10)</f>
        <v>-197009.83999999997</v>
      </c>
    </row>
    <row r="11" spans="1:4" x14ac:dyDescent="0.2">
      <c r="A11" s="3" t="s">
        <v>173</v>
      </c>
      <c r="B11" s="5">
        <f>534786.19</f>
        <v>534786.18999999994</v>
      </c>
      <c r="C11" s="5">
        <f>532439.05</f>
        <v>532439.05000000005</v>
      </c>
      <c r="D11" s="5">
        <f>(B11)-(C11)</f>
        <v>2347.1399999998976</v>
      </c>
    </row>
    <row r="12" spans="1:4" x14ac:dyDescent="0.2">
      <c r="A12" s="3" t="s">
        <v>172</v>
      </c>
      <c r="B12" s="5">
        <f>1200185.25</f>
        <v>1200185.25</v>
      </c>
      <c r="C12" s="5">
        <f>2000036.47</f>
        <v>2000036.47</v>
      </c>
      <c r="D12" s="5">
        <f>(B12)-(C12)</f>
        <v>-799851.22</v>
      </c>
    </row>
    <row r="13" spans="1:4" x14ac:dyDescent="0.2">
      <c r="A13" s="3" t="s">
        <v>171</v>
      </c>
      <c r="B13" s="7">
        <f>((B10)+(B11))+(B12)</f>
        <v>2263467.1</v>
      </c>
      <c r="C13" s="7">
        <f>((C10)+(C11))+(C12)</f>
        <v>3257981.02</v>
      </c>
      <c r="D13" s="7">
        <f>(B13)-(C13)</f>
        <v>-994513.91999999993</v>
      </c>
    </row>
    <row r="14" spans="1:4" x14ac:dyDescent="0.2">
      <c r="A14" s="3" t="s">
        <v>170</v>
      </c>
      <c r="B14" s="4"/>
      <c r="C14" s="4"/>
      <c r="D14" s="4"/>
    </row>
    <row r="15" spans="1:4" x14ac:dyDescent="0.2">
      <c r="A15" s="3" t="s">
        <v>181</v>
      </c>
      <c r="B15" s="5">
        <f>0</f>
        <v>0</v>
      </c>
      <c r="C15" s="5">
        <f>8444.88</f>
        <v>8444.8799999999992</v>
      </c>
      <c r="D15" s="5">
        <f>(B15)-(C15)</f>
        <v>-8444.8799999999992</v>
      </c>
    </row>
    <row r="16" spans="1:4" x14ac:dyDescent="0.2">
      <c r="A16" s="3" t="s">
        <v>169</v>
      </c>
      <c r="B16" s="5">
        <f>7017</f>
        <v>7017</v>
      </c>
      <c r="C16" s="5">
        <f>7017</f>
        <v>7017</v>
      </c>
      <c r="D16" s="5">
        <f>(B16)-(C16)</f>
        <v>0</v>
      </c>
    </row>
    <row r="17" spans="1:4" x14ac:dyDescent="0.2">
      <c r="A17" s="3" t="s">
        <v>168</v>
      </c>
      <c r="B17" s="7">
        <f>(B15)+(B16)</f>
        <v>7017</v>
      </c>
      <c r="C17" s="7">
        <f>(C15)+(C16)</f>
        <v>15461.88</v>
      </c>
      <c r="D17" s="7">
        <f>(B17)-(C17)</f>
        <v>-8444.8799999999992</v>
      </c>
    </row>
    <row r="18" spans="1:4" x14ac:dyDescent="0.2">
      <c r="A18" s="3" t="s">
        <v>167</v>
      </c>
      <c r="B18" s="7">
        <f>(B13)+(B17)</f>
        <v>2270484.1</v>
      </c>
      <c r="C18" s="7">
        <f>(C13)+(C17)</f>
        <v>3273442.9</v>
      </c>
      <c r="D18" s="7">
        <f>(B18)-(C18)</f>
        <v>-1002958.7999999998</v>
      </c>
    </row>
    <row r="19" spans="1:4" x14ac:dyDescent="0.2">
      <c r="A19" s="3" t="s">
        <v>166</v>
      </c>
      <c r="B19" s="7">
        <f>B18</f>
        <v>2270484.1</v>
      </c>
      <c r="C19" s="7">
        <f>C18</f>
        <v>3273442.9</v>
      </c>
      <c r="D19" s="7">
        <f>(B19)-(C19)</f>
        <v>-1002958.7999999998</v>
      </c>
    </row>
    <row r="20" spans="1:4" x14ac:dyDescent="0.2">
      <c r="A20" s="3" t="s">
        <v>165</v>
      </c>
      <c r="B20" s="4"/>
      <c r="C20" s="4"/>
      <c r="D20" s="4"/>
    </row>
    <row r="21" spans="1:4" x14ac:dyDescent="0.2">
      <c r="A21" s="3" t="s">
        <v>164</v>
      </c>
      <c r="B21" s="4"/>
      <c r="C21" s="4"/>
      <c r="D21" s="4"/>
    </row>
    <row r="22" spans="1:4" x14ac:dyDescent="0.2">
      <c r="A22" s="3" t="s">
        <v>163</v>
      </c>
      <c r="B22" s="4"/>
      <c r="C22" s="4"/>
      <c r="D22" s="4"/>
    </row>
    <row r="23" spans="1:4" x14ac:dyDescent="0.2">
      <c r="A23" s="3" t="s">
        <v>162</v>
      </c>
      <c r="B23" s="4"/>
      <c r="C23" s="4"/>
      <c r="D23" s="4"/>
    </row>
    <row r="24" spans="1:4" x14ac:dyDescent="0.2">
      <c r="A24" s="3" t="s">
        <v>161</v>
      </c>
      <c r="B24" s="5">
        <f>0</f>
        <v>0</v>
      </c>
      <c r="C24" s="5">
        <f>0</f>
        <v>0</v>
      </c>
      <c r="D24" s="5">
        <f>(B24)-(C24)</f>
        <v>0</v>
      </c>
    </row>
    <row r="25" spans="1:4" x14ac:dyDescent="0.2">
      <c r="A25" s="3" t="s">
        <v>160</v>
      </c>
      <c r="B25" s="5">
        <f>179.46</f>
        <v>179.46</v>
      </c>
      <c r="C25" s="5">
        <f>0</f>
        <v>0</v>
      </c>
      <c r="D25" s="5">
        <f>(B25)-(C25)</f>
        <v>179.46</v>
      </c>
    </row>
    <row r="26" spans="1:4" x14ac:dyDescent="0.2">
      <c r="A26" s="3" t="s">
        <v>159</v>
      </c>
      <c r="B26" s="5">
        <f>1947.84</f>
        <v>1947.84</v>
      </c>
      <c r="C26" s="5">
        <f>383.44</f>
        <v>383.44</v>
      </c>
      <c r="D26" s="5">
        <f>(B26)-(C26)</f>
        <v>1564.3999999999999</v>
      </c>
    </row>
    <row r="27" spans="1:4" x14ac:dyDescent="0.2">
      <c r="A27" s="3" t="s">
        <v>158</v>
      </c>
      <c r="B27" s="7">
        <f>((B24)+(B25))+(B26)</f>
        <v>2127.2999999999997</v>
      </c>
      <c r="C27" s="7">
        <f>((C24)+(C25))+(C26)</f>
        <v>383.44</v>
      </c>
      <c r="D27" s="7">
        <f>(B27)-(C27)</f>
        <v>1743.8599999999997</v>
      </c>
    </row>
    <row r="28" spans="1:4" x14ac:dyDescent="0.2">
      <c r="A28" s="3" t="s">
        <v>157</v>
      </c>
      <c r="B28" s="7">
        <f>B27</f>
        <v>2127.2999999999997</v>
      </c>
      <c r="C28" s="7">
        <f>C27</f>
        <v>383.44</v>
      </c>
      <c r="D28" s="7">
        <f>(B28)-(C28)</f>
        <v>1743.8599999999997</v>
      </c>
    </row>
    <row r="29" spans="1:4" x14ac:dyDescent="0.2">
      <c r="A29" s="3" t="s">
        <v>156</v>
      </c>
      <c r="B29" s="4"/>
      <c r="C29" s="4"/>
      <c r="D29" s="4"/>
    </row>
    <row r="30" spans="1:4" x14ac:dyDescent="0.2">
      <c r="A30" s="3" t="s">
        <v>155</v>
      </c>
      <c r="B30" s="5">
        <f>22651</f>
        <v>22651</v>
      </c>
      <c r="C30" s="4"/>
      <c r="D30" s="5">
        <f>(B30)-(C30)</f>
        <v>22651</v>
      </c>
    </row>
    <row r="31" spans="1:4" x14ac:dyDescent="0.2">
      <c r="A31" s="3" t="s">
        <v>154</v>
      </c>
      <c r="B31" s="7">
        <f>B30</f>
        <v>22651</v>
      </c>
      <c r="C31" s="7">
        <f>C30</f>
        <v>0</v>
      </c>
      <c r="D31" s="7">
        <f>(B31)-(C31)</f>
        <v>22651</v>
      </c>
    </row>
    <row r="32" spans="1:4" x14ac:dyDescent="0.2">
      <c r="A32" s="3" t="s">
        <v>153</v>
      </c>
      <c r="B32" s="7">
        <f>(B28)+(B31)</f>
        <v>24778.3</v>
      </c>
      <c r="C32" s="7">
        <f>(C28)+(C31)</f>
        <v>383.44</v>
      </c>
      <c r="D32" s="7">
        <f>(B32)-(C32)</f>
        <v>24394.86</v>
      </c>
    </row>
    <row r="33" spans="1:4" x14ac:dyDescent="0.2">
      <c r="A33" s="3" t="s">
        <v>152</v>
      </c>
      <c r="B33" s="7">
        <f>B32</f>
        <v>24778.3</v>
      </c>
      <c r="C33" s="7">
        <f>C32</f>
        <v>383.44</v>
      </c>
      <c r="D33" s="7">
        <f>(B33)-(C33)</f>
        <v>24394.86</v>
      </c>
    </row>
    <row r="34" spans="1:4" x14ac:dyDescent="0.2">
      <c r="A34" s="3" t="s">
        <v>151</v>
      </c>
      <c r="B34" s="4"/>
      <c r="C34" s="4"/>
      <c r="D34" s="4"/>
    </row>
    <row r="35" spans="1:4" x14ac:dyDescent="0.2">
      <c r="A35" s="3" t="s">
        <v>150</v>
      </c>
      <c r="B35" s="5">
        <f>2889467.26</f>
        <v>2889467.26</v>
      </c>
      <c r="C35" s="5">
        <f>5109130.2</f>
        <v>5109130.2</v>
      </c>
      <c r="D35" s="5">
        <f>(B35)-(C35)</f>
        <v>-2219662.9400000004</v>
      </c>
    </row>
    <row r="36" spans="1:4" x14ac:dyDescent="0.2">
      <c r="A36" s="3" t="s">
        <v>149</v>
      </c>
      <c r="B36" s="5">
        <f>-643761.46</f>
        <v>-643761.46</v>
      </c>
      <c r="C36" s="5">
        <f>-1836070.74</f>
        <v>-1836070.74</v>
      </c>
      <c r="D36" s="5">
        <f>(B36)-(C36)</f>
        <v>1192309.28</v>
      </c>
    </row>
    <row r="37" spans="1:4" x14ac:dyDescent="0.2">
      <c r="A37" s="3" t="s">
        <v>148</v>
      </c>
      <c r="B37" s="7">
        <f>(B35)+(B36)</f>
        <v>2245705.7999999998</v>
      </c>
      <c r="C37" s="7">
        <f>(C35)+(C36)</f>
        <v>3273059.46</v>
      </c>
      <c r="D37" s="7">
        <f>(B37)-(C37)</f>
        <v>-1027353.6600000001</v>
      </c>
    </row>
    <row r="38" spans="1:4" x14ac:dyDescent="0.2">
      <c r="A38" s="3" t="s">
        <v>147</v>
      </c>
      <c r="B38" s="7">
        <f>(B33)+(B37)</f>
        <v>2270484.0999999996</v>
      </c>
      <c r="C38" s="7">
        <f>(C33)+(C37)</f>
        <v>3273442.9</v>
      </c>
      <c r="D38" s="7">
        <f>(B38)-(C38)</f>
        <v>-1002958.8000000003</v>
      </c>
    </row>
    <row r="39" spans="1:4" x14ac:dyDescent="0.2">
      <c r="A39" s="3"/>
      <c r="B39" s="4"/>
      <c r="C39" s="4"/>
      <c r="D39" s="4"/>
    </row>
    <row r="42" spans="1:4" x14ac:dyDescent="0.2">
      <c r="A42" s="8" t="s">
        <v>180</v>
      </c>
      <c r="B42" s="9"/>
      <c r="C42" s="9"/>
      <c r="D42" s="9"/>
    </row>
  </sheetData>
  <mergeCells count="5">
    <mergeCell ref="B5:D5"/>
    <mergeCell ref="A42:D42"/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0E94-3B94-4A8A-B62B-23B3A52C9E05}">
  <dimension ref="A1:G16"/>
  <sheetViews>
    <sheetView topLeftCell="A7" workbookViewId="0">
      <selection activeCell="A7" sqref="A7:A11"/>
    </sheetView>
  </sheetViews>
  <sheetFormatPr baseColWidth="10" defaultColWidth="8.83203125" defaultRowHeight="15" x14ac:dyDescent="0.2"/>
  <cols>
    <col min="1" max="1" width="16.33203125" customWidth="1"/>
    <col min="2" max="2" width="9.5" customWidth="1"/>
    <col min="3" max="5" width="7.6640625" customWidth="1"/>
    <col min="6" max="6" width="8.5" customWidth="1"/>
    <col min="7" max="7" width="9.5" customWidth="1"/>
  </cols>
  <sheetData>
    <row r="1" spans="1:7" ht="18" x14ac:dyDescent="0.2">
      <c r="A1" s="10" t="s">
        <v>16</v>
      </c>
      <c r="B1" s="9"/>
      <c r="C1" s="9"/>
      <c r="D1" s="9"/>
      <c r="E1" s="9"/>
      <c r="F1" s="9"/>
      <c r="G1" s="9"/>
    </row>
    <row r="2" spans="1:7" ht="18" x14ac:dyDescent="0.2">
      <c r="A2" s="10" t="s">
        <v>193</v>
      </c>
      <c r="B2" s="9"/>
      <c r="C2" s="9"/>
      <c r="D2" s="9"/>
      <c r="E2" s="9"/>
      <c r="F2" s="9"/>
      <c r="G2" s="9"/>
    </row>
    <row r="3" spans="1:7" x14ac:dyDescent="0.2">
      <c r="A3" s="11" t="s">
        <v>178</v>
      </c>
      <c r="B3" s="9"/>
      <c r="C3" s="9"/>
      <c r="D3" s="9"/>
      <c r="E3" s="9"/>
      <c r="F3" s="9"/>
      <c r="G3" s="9"/>
    </row>
    <row r="5" spans="1:7" ht="27" x14ac:dyDescent="0.2">
      <c r="A5" s="1"/>
      <c r="B5" s="2" t="s">
        <v>192</v>
      </c>
      <c r="C5" s="2" t="s">
        <v>191</v>
      </c>
      <c r="D5" s="2" t="s">
        <v>190</v>
      </c>
      <c r="E5" s="2" t="s">
        <v>189</v>
      </c>
      <c r="F5" s="2" t="s">
        <v>188</v>
      </c>
      <c r="G5" s="2" t="s">
        <v>0</v>
      </c>
    </row>
    <row r="6" spans="1:7" x14ac:dyDescent="0.2">
      <c r="A6" s="3" t="s">
        <v>187</v>
      </c>
      <c r="B6" s="4"/>
      <c r="C6" s="4"/>
      <c r="D6" s="4"/>
      <c r="E6" s="4"/>
      <c r="F6" s="5">
        <f>0</f>
        <v>0</v>
      </c>
      <c r="G6" s="5">
        <f t="shared" ref="G6:G12" si="0">((((B6)+(C6))+(D6))+(E6))+(F6)</f>
        <v>0</v>
      </c>
    </row>
    <row r="7" spans="1:7" x14ac:dyDescent="0.2">
      <c r="A7" s="3"/>
      <c r="B7" s="4"/>
      <c r="C7" s="4"/>
      <c r="D7" s="4"/>
      <c r="E7" s="4"/>
      <c r="F7" s="5">
        <f>7500</f>
        <v>7500</v>
      </c>
      <c r="G7" s="5">
        <f t="shared" si="0"/>
        <v>7500</v>
      </c>
    </row>
    <row r="8" spans="1:7" x14ac:dyDescent="0.2">
      <c r="A8" s="3"/>
      <c r="B8" s="4"/>
      <c r="C8" s="4"/>
      <c r="D8" s="4"/>
      <c r="E8" s="4"/>
      <c r="F8" s="5">
        <f>0</f>
        <v>0</v>
      </c>
      <c r="G8" s="5">
        <f t="shared" si="0"/>
        <v>0</v>
      </c>
    </row>
    <row r="9" spans="1:7" x14ac:dyDescent="0.2">
      <c r="A9" s="3"/>
      <c r="B9" s="5">
        <f>15000</f>
        <v>15000</v>
      </c>
      <c r="C9" s="4"/>
      <c r="D9" s="4"/>
      <c r="E9" s="4"/>
      <c r="F9" s="4"/>
      <c r="G9" s="5">
        <f t="shared" si="0"/>
        <v>15000</v>
      </c>
    </row>
    <row r="10" spans="1:7" x14ac:dyDescent="0.2">
      <c r="A10" s="3"/>
      <c r="B10" s="4"/>
      <c r="C10" s="4"/>
      <c r="D10" s="4"/>
      <c r="E10" s="4"/>
      <c r="F10" s="5">
        <f>400</f>
        <v>400</v>
      </c>
      <c r="G10" s="5">
        <f t="shared" si="0"/>
        <v>400</v>
      </c>
    </row>
    <row r="11" spans="1:7" x14ac:dyDescent="0.2">
      <c r="A11" s="3"/>
      <c r="B11" s="5">
        <f>10000</f>
        <v>10000</v>
      </c>
      <c r="C11" s="4"/>
      <c r="D11" s="4"/>
      <c r="E11" s="4"/>
      <c r="F11" s="4"/>
      <c r="G11" s="5">
        <f t="shared" si="0"/>
        <v>10000</v>
      </c>
    </row>
    <row r="12" spans="1:7" x14ac:dyDescent="0.2">
      <c r="A12" s="3" t="s">
        <v>186</v>
      </c>
      <c r="B12" s="7">
        <f>(((((B6)+(B7))+(B8))+(B9))+(B10))+(B11)</f>
        <v>25000</v>
      </c>
      <c r="C12" s="7">
        <f>(((((C6)+(C7))+(C8))+(C9))+(C10))+(C11)</f>
        <v>0</v>
      </c>
      <c r="D12" s="7">
        <f>(((((D6)+(D7))+(D8))+(D9))+(D10))+(D11)</f>
        <v>0</v>
      </c>
      <c r="E12" s="7">
        <f>(((((E6)+(E7))+(E8))+(E9))+(E10))+(E11)</f>
        <v>0</v>
      </c>
      <c r="F12" s="7">
        <f>(((((F6)+(F7))+(F8))+(F9))+(F10))+(F11)</f>
        <v>7900</v>
      </c>
      <c r="G12" s="7">
        <f t="shared" si="0"/>
        <v>32900</v>
      </c>
    </row>
    <row r="13" spans="1:7" x14ac:dyDescent="0.2">
      <c r="A13" s="3"/>
      <c r="B13" s="4"/>
      <c r="C13" s="4"/>
      <c r="D13" s="4"/>
      <c r="E13" s="4"/>
      <c r="F13" s="4"/>
      <c r="G13" s="4"/>
    </row>
    <row r="16" spans="1:7" x14ac:dyDescent="0.2">
      <c r="A16" s="8" t="s">
        <v>185</v>
      </c>
      <c r="B16" s="9"/>
      <c r="C16" s="9"/>
      <c r="D16" s="9"/>
      <c r="E16" s="9"/>
      <c r="F16" s="9"/>
      <c r="G16" s="9"/>
    </row>
  </sheetData>
  <mergeCells count="4">
    <mergeCell ref="A16:G16"/>
    <mergeCell ref="A1:G1"/>
    <mergeCell ref="A2:G2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2 Z L U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I 2 Z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m S 1 M o i k e 4 D g A A A B E A A A A T A B w A R m 9 y b X V s Y X M v U 2 V j d G l v b j E u b S C i G A A o o B Q A A A A A A A A A A A A A A A A A A A A A A A A A A A A r T k 0 u y c z P U w i G 0 I b W A F B L A Q I t A B Q A A g A I A C N m S 1 M g O B 9 n p A A A A P U A A A A S A A A A A A A A A A A A A A A A A A A A A A B D b 2 5 m a W c v U G F j a 2 F n Z S 5 4 b W x Q S w E C L Q A U A A I A C A A j Z k t T D 8 r p q 6 Q A A A D p A A A A E w A A A A A A A A A A A A A A A A D w A A A A W 0 N v b n R l b n R f V H l w Z X N d L n h t b F B L A Q I t A B Q A A g A I A C N m S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v i w 9 L L b N M Q r M w H o X L a l L 8 A A A A A A I A A A A A A B B m A A A A A Q A A I A A A A H q C p u c E o R Q k a J y n 5 l W d 3 i m k O H F a p h k / c U 1 E D w s t u P P Q A A A A A A 6 A A A A A A g A A I A A A A D t 2 l z 6 i x A Y t R y C 6 + y o b V G j X K q 4 I i 9 0 3 W 7 u E j P I S T E w l U A A A A J m 9 X x W A K I I h n G 9 y o i 7 R d K s W h X o l q v c N K V g P o K E X t d p P 9 4 R t d J Z C 2 5 1 H m v r q 2 W Z Q M U 3 R F N X m y h o f h h C L Y 7 D d X p s m k F y y C V t n G j 7 w n a n h + w W 7 Q A A A A E 8 o r B 3 R x A 3 b 8 o B 9 y M b n a O r v N Z E i o T v 5 7 G N z d G K y B Z M Z h A 4 3 B D l X 4 u 3 x S e s W p x k S Z Q O B D f o t Y H o 7 0 C T 7 2 f U K 3 q A = < / D a t a M a s h u p > 
</file>

<file path=customXml/itemProps1.xml><?xml version="1.0" encoding="utf-8"?>
<ds:datastoreItem xmlns:ds="http://schemas.openxmlformats.org/officeDocument/2006/customXml" ds:itemID="{34541873-9DC9-45D3-97FD-6C2DDDA955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Profit and Loss Qtrly</vt:lpstr>
      <vt:lpstr>Profit and Loss Comparison</vt:lpstr>
      <vt:lpstr>Statement of Cash Flows</vt:lpstr>
      <vt:lpstr>Balance Sheet</vt:lpstr>
      <vt:lpstr>Balance Sheet Comparison </vt:lpstr>
      <vt:lpstr>A R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Ellen Grove</cp:lastModifiedBy>
  <dcterms:created xsi:type="dcterms:W3CDTF">2021-10-11T16:46:30Z</dcterms:created>
  <dcterms:modified xsi:type="dcterms:W3CDTF">2021-10-13T15:50:46Z</dcterms:modified>
</cp:coreProperties>
</file>