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/>
  <mc:AlternateContent xmlns:mc="http://schemas.openxmlformats.org/markup-compatibility/2006">
    <mc:Choice Requires="x15">
      <x15ac:absPath xmlns:x15ac="http://schemas.microsoft.com/office/spreadsheetml/2010/11/ac" url="/Users/ellengrove/Desktop/"/>
    </mc:Choice>
  </mc:AlternateContent>
  <xr:revisionPtr revIDLastSave="0" documentId="8_{4187F128-A667-E849-9AED-411CCABA1F77}" xr6:coauthVersionLast="47" xr6:coauthVersionMax="47" xr10:uidLastSave="{00000000-0000-0000-0000-000000000000}"/>
  <bookViews>
    <workbookView xWindow="31820" yWindow="840" windowWidth="28800" windowHeight="17500" activeTab="4" xr2:uid="{00000000-000D-0000-FFFF-FFFF00000000}"/>
  </bookViews>
  <sheets>
    <sheet name="Balance Sheet" sheetId="1" r:id="rId1"/>
    <sheet name="Balance Sheet Comparison " sheetId="2" r:id="rId2"/>
    <sheet name="Profit and Loss Qtrly" sheetId="4" r:id="rId3"/>
    <sheet name="Profit and Loss Comparison Qtly" sheetId="6" r:id="rId4"/>
    <sheet name="Statement of Cash Flows Qtrly" sheetId="9" r:id="rId5"/>
    <sheet name="A R Aging Summary" sheetId="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3" roundtripDataSignature="AMtx7mhs2+Fnv3PYUAVtHSq+MXZyHRGNIA=="/>
    </ext>
  </extLst>
</workbook>
</file>

<file path=xl/calcChain.xml><?xml version="1.0" encoding="utf-8"?>
<calcChain xmlns="http://schemas.openxmlformats.org/spreadsheetml/2006/main">
  <c r="B17" i="9" l="1"/>
  <c r="B13" i="9"/>
  <c r="B12" i="9"/>
  <c r="B11" i="9"/>
  <c r="B10" i="9"/>
  <c r="B9" i="9"/>
  <c r="B14" i="9" s="1"/>
  <c r="B7" i="9"/>
  <c r="B15" i="9" s="1"/>
  <c r="B16" i="9" s="1"/>
  <c r="B18" i="9" s="1"/>
  <c r="E15" i="8"/>
  <c r="D15" i="8"/>
  <c r="C14" i="8"/>
  <c r="G14" i="8" s="1"/>
  <c r="B13" i="8"/>
  <c r="G13" i="8" s="1"/>
  <c r="E12" i="8"/>
  <c r="G12" i="8" s="1"/>
  <c r="B11" i="8"/>
  <c r="G11" i="8" s="1"/>
  <c r="B10" i="8"/>
  <c r="B15" i="8" s="1"/>
  <c r="F9" i="8"/>
  <c r="G9" i="8" s="1"/>
  <c r="G8" i="8"/>
  <c r="C8" i="8"/>
  <c r="C15" i="8" s="1"/>
  <c r="F7" i="8"/>
  <c r="G7" i="8" s="1"/>
  <c r="F6" i="8"/>
  <c r="C105" i="6"/>
  <c r="B105" i="6"/>
  <c r="C104" i="6"/>
  <c r="C106" i="6" s="1"/>
  <c r="C107" i="6" s="1"/>
  <c r="D103" i="6"/>
  <c r="C102" i="6"/>
  <c r="D102" i="6" s="1"/>
  <c r="C100" i="6"/>
  <c r="B99" i="6"/>
  <c r="D99" i="6" s="1"/>
  <c r="B98" i="6"/>
  <c r="D98" i="6" s="1"/>
  <c r="C97" i="6"/>
  <c r="B97" i="6"/>
  <c r="D97" i="6" s="1"/>
  <c r="C92" i="6"/>
  <c r="D92" i="6" s="1"/>
  <c r="B92" i="6"/>
  <c r="C91" i="6"/>
  <c r="B91" i="6"/>
  <c r="D91" i="6" s="1"/>
  <c r="C90" i="6"/>
  <c r="B90" i="6"/>
  <c r="D90" i="6" s="1"/>
  <c r="D89" i="6"/>
  <c r="C89" i="6"/>
  <c r="B89" i="6"/>
  <c r="C88" i="6"/>
  <c r="B88" i="6"/>
  <c r="D88" i="6" s="1"/>
  <c r="C87" i="6"/>
  <c r="C93" i="6" s="1"/>
  <c r="B87" i="6"/>
  <c r="B93" i="6" s="1"/>
  <c r="D86" i="6"/>
  <c r="C84" i="6"/>
  <c r="B84" i="6"/>
  <c r="D84" i="6" s="1"/>
  <c r="D83" i="6"/>
  <c r="C83" i="6"/>
  <c r="B83" i="6"/>
  <c r="C82" i="6"/>
  <c r="B82" i="6"/>
  <c r="D82" i="6" s="1"/>
  <c r="C81" i="6"/>
  <c r="D81" i="6" s="1"/>
  <c r="D80" i="6"/>
  <c r="C80" i="6"/>
  <c r="B80" i="6"/>
  <c r="C79" i="6"/>
  <c r="B79" i="6"/>
  <c r="D78" i="6"/>
  <c r="D75" i="6"/>
  <c r="C75" i="6"/>
  <c r="B75" i="6"/>
  <c r="D74" i="6"/>
  <c r="C74" i="6"/>
  <c r="B74" i="6"/>
  <c r="B73" i="6"/>
  <c r="D73" i="6" s="1"/>
  <c r="C72" i="6"/>
  <c r="C76" i="6" s="1"/>
  <c r="C71" i="6"/>
  <c r="D71" i="6" s="1"/>
  <c r="B71" i="6"/>
  <c r="C69" i="6"/>
  <c r="B69" i="6"/>
  <c r="B70" i="6" s="1"/>
  <c r="D68" i="6"/>
  <c r="C68" i="6"/>
  <c r="C67" i="6"/>
  <c r="D67" i="6" s="1"/>
  <c r="D66" i="6"/>
  <c r="B65" i="6"/>
  <c r="D65" i="6" s="1"/>
  <c r="C64" i="6"/>
  <c r="D64" i="6" s="1"/>
  <c r="B64" i="6"/>
  <c r="C63" i="6"/>
  <c r="B63" i="6"/>
  <c r="D63" i="6" s="1"/>
  <c r="D62" i="6"/>
  <c r="C62" i="6"/>
  <c r="C61" i="6"/>
  <c r="D61" i="6" s="1"/>
  <c r="B59" i="6"/>
  <c r="D59" i="6" s="1"/>
  <c r="C58" i="6"/>
  <c r="D58" i="6" s="1"/>
  <c r="D57" i="6"/>
  <c r="C57" i="6"/>
  <c r="C56" i="6"/>
  <c r="D56" i="6" s="1"/>
  <c r="C55" i="6"/>
  <c r="D55" i="6" s="1"/>
  <c r="B54" i="6"/>
  <c r="B60" i="6" s="1"/>
  <c r="D53" i="6"/>
  <c r="C53" i="6"/>
  <c r="B53" i="6"/>
  <c r="C52" i="6"/>
  <c r="D52" i="6" s="1"/>
  <c r="C51" i="6"/>
  <c r="D51" i="6" s="1"/>
  <c r="C50" i="6"/>
  <c r="D50" i="6" s="1"/>
  <c r="B50" i="6"/>
  <c r="C49" i="6"/>
  <c r="C60" i="6" s="1"/>
  <c r="D48" i="6"/>
  <c r="C47" i="6"/>
  <c r="B47" i="6"/>
  <c r="D46" i="6"/>
  <c r="C44" i="6"/>
  <c r="B44" i="6"/>
  <c r="D44" i="6" s="1"/>
  <c r="D43" i="6"/>
  <c r="C43" i="6"/>
  <c r="B43" i="6"/>
  <c r="C42" i="6"/>
  <c r="B42" i="6"/>
  <c r="D42" i="6" s="1"/>
  <c r="D41" i="6"/>
  <c r="C39" i="6"/>
  <c r="D39" i="6" s="1"/>
  <c r="C38" i="6"/>
  <c r="B38" i="6"/>
  <c r="D38" i="6" s="1"/>
  <c r="C37" i="6"/>
  <c r="D37" i="6" s="1"/>
  <c r="D36" i="6"/>
  <c r="C36" i="6"/>
  <c r="B35" i="6"/>
  <c r="D35" i="6" s="1"/>
  <c r="C34" i="6"/>
  <c r="B33" i="6"/>
  <c r="B34" i="6" s="1"/>
  <c r="D34" i="6" s="1"/>
  <c r="B32" i="6"/>
  <c r="D32" i="6" s="1"/>
  <c r="C31" i="6"/>
  <c r="D31" i="6" s="1"/>
  <c r="B30" i="6"/>
  <c r="D30" i="6" s="1"/>
  <c r="B29" i="6"/>
  <c r="D29" i="6" s="1"/>
  <c r="C28" i="6"/>
  <c r="D28" i="6" s="1"/>
  <c r="C27" i="6"/>
  <c r="B27" i="6"/>
  <c r="D27" i="6" s="1"/>
  <c r="C26" i="6"/>
  <c r="C40" i="6" s="1"/>
  <c r="B26" i="6"/>
  <c r="D26" i="6" s="1"/>
  <c r="B25" i="6"/>
  <c r="D25" i="6" s="1"/>
  <c r="C24" i="6"/>
  <c r="D24" i="6" s="1"/>
  <c r="D23" i="6"/>
  <c r="C22" i="6"/>
  <c r="B22" i="6"/>
  <c r="D22" i="6" s="1"/>
  <c r="C21" i="6"/>
  <c r="D21" i="6" s="1"/>
  <c r="D20" i="6"/>
  <c r="C15" i="6"/>
  <c r="C16" i="6" s="1"/>
  <c r="B15" i="6"/>
  <c r="B16" i="6" s="1"/>
  <c r="D16" i="6" s="1"/>
  <c r="D14" i="6"/>
  <c r="C14" i="6"/>
  <c r="B14" i="6"/>
  <c r="D13" i="6"/>
  <c r="C12" i="6"/>
  <c r="C17" i="6" s="1"/>
  <c r="C18" i="6" s="1"/>
  <c r="B11" i="6"/>
  <c r="D11" i="6" s="1"/>
  <c r="B10" i="6"/>
  <c r="D10" i="6" s="1"/>
  <c r="C9" i="6"/>
  <c r="B9" i="6"/>
  <c r="D9" i="6" s="1"/>
  <c r="D8" i="6"/>
  <c r="B81" i="4"/>
  <c r="B82" i="4" s="1"/>
  <c r="B83" i="4" s="1"/>
  <c r="B77" i="4"/>
  <c r="B76" i="4"/>
  <c r="B75" i="4"/>
  <c r="B78" i="4" s="1"/>
  <c r="B70" i="4"/>
  <c r="B71" i="4" s="1"/>
  <c r="B69" i="4"/>
  <c r="B68" i="4"/>
  <c r="B67" i="4"/>
  <c r="B66" i="4"/>
  <c r="B65" i="4"/>
  <c r="B62" i="4"/>
  <c r="B61" i="4"/>
  <c r="B63" i="4" s="1"/>
  <c r="B60" i="4"/>
  <c r="B59" i="4"/>
  <c r="B58" i="4"/>
  <c r="B54" i="4"/>
  <c r="B53" i="4"/>
  <c r="B55" i="4" s="1"/>
  <c r="B51" i="4"/>
  <c r="B49" i="4"/>
  <c r="B50" i="4" s="1"/>
  <c r="B47" i="4"/>
  <c r="B46" i="4"/>
  <c r="B45" i="4"/>
  <c r="B43" i="4"/>
  <c r="B42" i="4"/>
  <c r="B44" i="4" s="1"/>
  <c r="B41" i="4"/>
  <c r="B40" i="4"/>
  <c r="B38" i="4"/>
  <c r="B36" i="4"/>
  <c r="B35" i="4"/>
  <c r="B34" i="4"/>
  <c r="B33" i="4"/>
  <c r="B30" i="4"/>
  <c r="B29" i="4"/>
  <c r="B27" i="4"/>
  <c r="B26" i="4"/>
  <c r="B28" i="4" s="1"/>
  <c r="B31" i="4" s="1"/>
  <c r="B24" i="4"/>
  <c r="B23" i="4"/>
  <c r="B22" i="4"/>
  <c r="B21" i="4"/>
  <c r="B20" i="4"/>
  <c r="B14" i="4"/>
  <c r="B15" i="4" s="1"/>
  <c r="B16" i="4" s="1"/>
  <c r="B17" i="4" s="1"/>
  <c r="B13" i="4"/>
  <c r="B11" i="4"/>
  <c r="B10" i="4"/>
  <c r="B9" i="4"/>
  <c r="B8" i="4"/>
  <c r="C40" i="2"/>
  <c r="B40" i="2"/>
  <c r="D40" i="2" s="1"/>
  <c r="D39" i="2"/>
  <c r="C39" i="2"/>
  <c r="B39" i="2"/>
  <c r="C38" i="2"/>
  <c r="B38" i="2"/>
  <c r="D38" i="2" s="1"/>
  <c r="C33" i="2"/>
  <c r="C34" i="2" s="1"/>
  <c r="B33" i="2"/>
  <c r="D33" i="2" s="1"/>
  <c r="D29" i="2"/>
  <c r="C29" i="2"/>
  <c r="B29" i="2"/>
  <c r="C28" i="2"/>
  <c r="B28" i="2"/>
  <c r="D28" i="2" s="1"/>
  <c r="C27" i="2"/>
  <c r="C30" i="2" s="1"/>
  <c r="C31" i="2" s="1"/>
  <c r="B27" i="2"/>
  <c r="B30" i="2" s="1"/>
  <c r="C24" i="2"/>
  <c r="C25" i="2" s="1"/>
  <c r="B24" i="2"/>
  <c r="C16" i="2"/>
  <c r="C17" i="2" s="1"/>
  <c r="B16" i="2"/>
  <c r="C15" i="2"/>
  <c r="B15" i="2"/>
  <c r="D15" i="2" s="1"/>
  <c r="D12" i="2"/>
  <c r="C12" i="2"/>
  <c r="B12" i="2"/>
  <c r="C11" i="2"/>
  <c r="B11" i="2"/>
  <c r="D11" i="2" s="1"/>
  <c r="D10" i="2"/>
  <c r="C10" i="2"/>
  <c r="C13" i="2" s="1"/>
  <c r="B10" i="2"/>
  <c r="B13" i="2" s="1"/>
  <c r="B37" i="1"/>
  <c r="B36" i="1"/>
  <c r="B38" i="1" s="1"/>
  <c r="B31" i="1"/>
  <c r="B32" i="1" s="1"/>
  <c r="B27" i="1"/>
  <c r="B26" i="1"/>
  <c r="B25" i="1"/>
  <c r="B28" i="1" s="1"/>
  <c r="B29" i="1" s="1"/>
  <c r="B22" i="1"/>
  <c r="B23" i="1" s="1"/>
  <c r="B14" i="1"/>
  <c r="B15" i="1" s="1"/>
  <c r="B12" i="1"/>
  <c r="B16" i="1" s="1"/>
  <c r="B17" i="1" s="1"/>
  <c r="B11" i="1"/>
  <c r="B10" i="1"/>
  <c r="B9" i="1"/>
  <c r="B56" i="4" l="1"/>
  <c r="D13" i="2"/>
  <c r="B33" i="1"/>
  <c r="B34" i="1" s="1"/>
  <c r="B39" i="1" s="1"/>
  <c r="C18" i="2"/>
  <c r="C19" i="2" s="1"/>
  <c r="B72" i="4"/>
  <c r="B73" i="4" s="1"/>
  <c r="B85" i="4" s="1"/>
  <c r="B31" i="2"/>
  <c r="D31" i="2" s="1"/>
  <c r="D30" i="2"/>
  <c r="B84" i="4"/>
  <c r="D93" i="6"/>
  <c r="D27" i="2"/>
  <c r="B12" i="6"/>
  <c r="D16" i="2"/>
  <c r="C35" i="2"/>
  <c r="C36" i="2" s="1"/>
  <c r="C41" i="2" s="1"/>
  <c r="B34" i="2"/>
  <c r="D34" i="2" s="1"/>
  <c r="D33" i="6"/>
  <c r="C45" i="6"/>
  <c r="C85" i="6"/>
  <c r="B40" i="6"/>
  <c r="D40" i="6" s="1"/>
  <c r="D15" i="6"/>
  <c r="B25" i="2"/>
  <c r="D24" i="2"/>
  <c r="D69" i="6"/>
  <c r="D105" i="6"/>
  <c r="B106" i="6"/>
  <c r="B17" i="2"/>
  <c r="D17" i="2" s="1"/>
  <c r="D47" i="6"/>
  <c r="D87" i="6"/>
  <c r="B100" i="6"/>
  <c r="D72" i="6"/>
  <c r="D60" i="6"/>
  <c r="D54" i="6"/>
  <c r="D104" i="6"/>
  <c r="B85" i="6"/>
  <c r="D85" i="6" s="1"/>
  <c r="D79" i="6"/>
  <c r="F15" i="8"/>
  <c r="G15" i="8" s="1"/>
  <c r="C108" i="6"/>
  <c r="B45" i="6"/>
  <c r="D45" i="6" s="1"/>
  <c r="C70" i="6"/>
  <c r="C77" i="6" s="1"/>
  <c r="C94" i="6" s="1"/>
  <c r="C95" i="6" s="1"/>
  <c r="C109" i="6" s="1"/>
  <c r="G6" i="8"/>
  <c r="G10" i="8"/>
  <c r="B76" i="6"/>
  <c r="D76" i="6" s="1"/>
  <c r="D49" i="6"/>
  <c r="D106" i="6" l="1"/>
  <c r="B107" i="6"/>
  <c r="D107" i="6" s="1"/>
  <c r="D12" i="6"/>
  <c r="B17" i="6"/>
  <c r="D70" i="6"/>
  <c r="D100" i="6"/>
  <c r="B18" i="2"/>
  <c r="B35" i="2"/>
  <c r="D25" i="2"/>
  <c r="B77" i="6"/>
  <c r="B108" i="6" l="1"/>
  <c r="D108" i="6" s="1"/>
  <c r="D35" i="2"/>
  <c r="B36" i="2"/>
  <c r="D18" i="2"/>
  <c r="B19" i="2"/>
  <c r="D19" i="2" s="1"/>
  <c r="B18" i="6"/>
  <c r="D17" i="6"/>
  <c r="D77" i="6"/>
  <c r="B94" i="6"/>
  <c r="D94" i="6" s="1"/>
  <c r="D18" i="6" l="1"/>
  <c r="B95" i="6"/>
  <c r="B41" i="2"/>
  <c r="D41" i="2" s="1"/>
  <c r="D36" i="2"/>
  <c r="B109" i="6" l="1"/>
  <c r="D109" i="6" s="1"/>
  <c r="D95" i="6"/>
</calcChain>
</file>

<file path=xl/sharedStrings.xml><?xml version="1.0" encoding="utf-8"?>
<sst xmlns="http://schemas.openxmlformats.org/spreadsheetml/2006/main" count="307" uniqueCount="178">
  <si>
    <t>Agile Alliance</t>
  </si>
  <si>
    <t>Balance Sheet</t>
  </si>
  <si>
    <t>As of December 31, 2021</t>
  </si>
  <si>
    <t>Total</t>
  </si>
  <si>
    <t>ASSETS</t>
  </si>
  <si>
    <t xml:space="preserve">   Current Assets</t>
  </si>
  <si>
    <t xml:space="preserve">      Bank Accounts</t>
  </si>
  <si>
    <t xml:space="preserve">         BB&amp;T Checking</t>
  </si>
  <si>
    <t xml:space="preserve">         Everbank CD</t>
  </si>
  <si>
    <t xml:space="preserve">         Money Market</t>
  </si>
  <si>
    <t xml:space="preserve">      Total Bank Accounts</t>
  </si>
  <si>
    <t xml:space="preserve">      Other Current Assets</t>
  </si>
  <si>
    <t xml:space="preserve">         Inventory Asset</t>
  </si>
  <si>
    <t xml:space="preserve">      Total Other Current Assets</t>
  </si>
  <si>
    <t xml:space="preserve">   Total Current Assets</t>
  </si>
  <si>
    <t>TOTAL ASSETS</t>
  </si>
  <si>
    <t>LIABILITIES AND EQUITY</t>
  </si>
  <si>
    <t xml:space="preserve">   Liabilities</t>
  </si>
  <si>
    <t xml:space="preserve">      Current Liabilities</t>
  </si>
  <si>
    <t xml:space="preserve">         Accounts Payable</t>
  </si>
  <si>
    <t xml:space="preserve">            Accounts Payable</t>
  </si>
  <si>
    <t xml:space="preserve">         Total Accounts Payable</t>
  </si>
  <si>
    <t xml:space="preserve">         Credit Cards</t>
  </si>
  <si>
    <t xml:space="preserve">            Business Visa</t>
  </si>
  <si>
    <t xml:space="preserve">               Visa - Anna Vickers</t>
  </si>
  <si>
    <t xml:space="preserve">               Visa - Ellen Grove</t>
  </si>
  <si>
    <t xml:space="preserve">            Total Business Visa</t>
  </si>
  <si>
    <t xml:space="preserve">         Total Credit Cards</t>
  </si>
  <si>
    <t xml:space="preserve">         Other Current Liabilities</t>
  </si>
  <si>
    <t xml:space="preserve">            Conference Rollovers</t>
  </si>
  <si>
    <t xml:space="preserve">         Total Other Current Liabilities</t>
  </si>
  <si>
    <t xml:space="preserve">      Total Current Liabilities</t>
  </si>
  <si>
    <t xml:space="preserve">   Total Liabilities</t>
  </si>
  <si>
    <t xml:space="preserve">   Equity</t>
  </si>
  <si>
    <t xml:space="preserve">      Retained Earnings</t>
  </si>
  <si>
    <t xml:space="preserve">      Net Income</t>
  </si>
  <si>
    <t xml:space="preserve">   Total Equity</t>
  </si>
  <si>
    <t>TOTAL LIABILITIES AND EQUITY</t>
  </si>
  <si>
    <t>Thursday, Jan 13, 2022 02:23:43 PM GMT-8 - Cash Basis</t>
  </si>
  <si>
    <t xml:space="preserve">Balance Sheet Comparison </t>
  </si>
  <si>
    <t>As of Dec 31, 2021</t>
  </si>
  <si>
    <t>As of Dec 31, 2020 (PY)</t>
  </si>
  <si>
    <t>Change</t>
  </si>
  <si>
    <t xml:space="preserve">         Deposit</t>
  </si>
  <si>
    <t>Thursday, Jan 13, 2022 02:26:02 PM GMT-8 - Cash Basis</t>
  </si>
  <si>
    <t>Profit and Loss</t>
  </si>
  <si>
    <t>Income</t>
  </si>
  <si>
    <t xml:space="preserve">   Conference Income</t>
  </si>
  <si>
    <t xml:space="preserve">      Attendees</t>
  </si>
  <si>
    <t xml:space="preserve">      Research Papers</t>
  </si>
  <si>
    <t xml:space="preserve">      Sponsorships</t>
  </si>
  <si>
    <t xml:space="preserve">   Total Conference Income</t>
  </si>
  <si>
    <t xml:space="preserve">   Memberships</t>
  </si>
  <si>
    <t xml:space="preserve">      Corporate</t>
  </si>
  <si>
    <t xml:space="preserve">      Individual</t>
  </si>
  <si>
    <t xml:space="preserve">   Total Memberships</t>
  </si>
  <si>
    <t>Total Income</t>
  </si>
  <si>
    <t>Gross Profit</t>
  </si>
  <si>
    <t>Expenses</t>
  </si>
  <si>
    <t xml:space="preserve">   Conference Expense</t>
  </si>
  <si>
    <t xml:space="preserve">      Committee Expenses</t>
  </si>
  <si>
    <t xml:space="preserve">      Conference Planner</t>
  </si>
  <si>
    <t xml:space="preserve">      Conference Planning &amp; Material</t>
  </si>
  <si>
    <t xml:space="preserve">      Legal</t>
  </si>
  <si>
    <t xml:space="preserve">      Merchant Fees</t>
  </si>
  <si>
    <t xml:space="preserve">         Registrations</t>
  </si>
  <si>
    <t xml:space="preserve">      Total Merchant Fees</t>
  </si>
  <si>
    <t xml:space="preserve">      Platform Software</t>
  </si>
  <si>
    <t xml:space="preserve">      Submission System</t>
  </si>
  <si>
    <t xml:space="preserve">   Total Conference Expense</t>
  </si>
  <si>
    <t xml:space="preserve">   Merchant Fees</t>
  </si>
  <si>
    <t xml:space="preserve">      Corporate Members</t>
  </si>
  <si>
    <t xml:space="preserve">      General</t>
  </si>
  <si>
    <t xml:space="preserve">      Individual Members</t>
  </si>
  <si>
    <t xml:space="preserve">   Total Merchant Fees</t>
  </si>
  <si>
    <t xml:space="preserve">   Operational Expenses</t>
  </si>
  <si>
    <t xml:space="preserve">      Bank Service Charges</t>
  </si>
  <si>
    <t xml:space="preserve">      Contract Labor</t>
  </si>
  <si>
    <t xml:space="preserve">         Community Development</t>
  </si>
  <si>
    <t xml:space="preserve">         Management Services</t>
  </si>
  <si>
    <t xml:space="preserve">         Membership Engagement</t>
  </si>
  <si>
    <t xml:space="preserve">         Website</t>
  </si>
  <si>
    <t xml:space="preserve">      Total Contract Labor</t>
  </si>
  <si>
    <t xml:space="preserve">      Membership Communications</t>
  </si>
  <si>
    <t xml:space="preserve">      Miscellaneous Office</t>
  </si>
  <si>
    <t xml:space="preserve">      Postage and Delivery</t>
  </si>
  <si>
    <t xml:space="preserve">      Professional Fees</t>
  </si>
  <si>
    <t xml:space="preserve">         Legal Fees</t>
  </si>
  <si>
    <t xml:space="preserve">      Total Professional Fees</t>
  </si>
  <si>
    <t xml:space="preserve">      Software</t>
  </si>
  <si>
    <t xml:space="preserve">   Total Operational Expenses</t>
  </si>
  <si>
    <t xml:space="preserve">   Payroll Expenses</t>
  </si>
  <si>
    <t xml:space="preserve">      Health Insurance</t>
  </si>
  <si>
    <t xml:space="preserve">      Processing Fees</t>
  </si>
  <si>
    <t xml:space="preserve">      Salary</t>
  </si>
  <si>
    <t xml:space="preserve">      Taxes</t>
  </si>
  <si>
    <t xml:space="preserve">      Worker's Comp</t>
  </si>
  <si>
    <t xml:space="preserve">   Total Payroll Expenses</t>
  </si>
  <si>
    <t xml:space="preserve">   Programs</t>
  </si>
  <si>
    <t xml:space="preserve">      ACCWW</t>
  </si>
  <si>
    <t xml:space="preserve">   Total Programs</t>
  </si>
  <si>
    <t>Total Expenses</t>
  </si>
  <si>
    <t>Net Operating Income</t>
  </si>
  <si>
    <t>Other Income</t>
  </si>
  <si>
    <t xml:space="preserve">   Interest Income</t>
  </si>
  <si>
    <t xml:space="preserve">   Miscellaneous Income</t>
  </si>
  <si>
    <t>Total Other Income</t>
  </si>
  <si>
    <t>Other Expenses</t>
  </si>
  <si>
    <t xml:space="preserve">   User Groups</t>
  </si>
  <si>
    <t xml:space="preserve">      NYC Scrum</t>
  </si>
  <si>
    <t xml:space="preserve">   Total User Groups</t>
  </si>
  <si>
    <t>Total Other Expenses</t>
  </si>
  <si>
    <t>Net Other Income</t>
  </si>
  <si>
    <t>Net Income</t>
  </si>
  <si>
    <t>October - December, 2021</t>
  </si>
  <si>
    <t xml:space="preserve">      Honoraria</t>
  </si>
  <si>
    <t xml:space="preserve">         Research Papers</t>
  </si>
  <si>
    <t xml:space="preserve">      Website</t>
  </si>
  <si>
    <t xml:space="preserve">         Analytics</t>
  </si>
  <si>
    <t xml:space="preserve">         Membership Management</t>
  </si>
  <si>
    <t xml:space="preserve">      Total Website</t>
  </si>
  <si>
    <t xml:space="preserve">      Agile Open</t>
  </si>
  <si>
    <t xml:space="preserve">      Community Development</t>
  </si>
  <si>
    <t xml:space="preserve">      Community Groups</t>
  </si>
  <si>
    <t xml:space="preserve">      Conference Sponsorship Program</t>
  </si>
  <si>
    <t xml:space="preserve">      Sharing Stories</t>
  </si>
  <si>
    <t xml:space="preserve">   Royalties</t>
  </si>
  <si>
    <t>Thursday, Jan 13, 2022 02:28:36 PM GMT-8 - Cash Basis</t>
  </si>
  <si>
    <t>Profit and Loss Comparison</t>
  </si>
  <si>
    <t xml:space="preserve">   Board Expenses</t>
  </si>
  <si>
    <t xml:space="preserve">      Board Meeting Expenses</t>
  </si>
  <si>
    <t xml:space="preserve">   Total Board Expenses</t>
  </si>
  <si>
    <t xml:space="preserve">      Canadian Tax</t>
  </si>
  <si>
    <t xml:space="preserve">      Entertainment</t>
  </si>
  <si>
    <t xml:space="preserve">      Video</t>
  </si>
  <si>
    <t xml:space="preserve">         Administrative Support</t>
  </si>
  <si>
    <t xml:space="preserve">         Experience Report</t>
  </si>
  <si>
    <t xml:space="preserve">         Initiative Support</t>
  </si>
  <si>
    <t xml:space="preserve">         Miscellaneous General</t>
  </si>
  <si>
    <t xml:space="preserve">         Reg. and Membership Mgmt</t>
  </si>
  <si>
    <t xml:space="preserve">         Social Media</t>
  </si>
  <si>
    <t xml:space="preserve">         Third Party Events Support</t>
  </si>
  <si>
    <t xml:space="preserve">      Licenses and Permits</t>
  </si>
  <si>
    <t xml:space="preserve">      Marketing</t>
  </si>
  <si>
    <t xml:space="preserve">         Facilitation</t>
  </si>
  <si>
    <t xml:space="preserve">         HR</t>
  </si>
  <si>
    <t xml:space="preserve">         Web Hosting</t>
  </si>
  <si>
    <t xml:space="preserve">      Retirement Benefits</t>
  </si>
  <si>
    <t>Oct - Dec, 2021</t>
  </si>
  <si>
    <t>Oct - Dec, 2020 (PY)</t>
  </si>
  <si>
    <t xml:space="preserve">      Publishing</t>
  </si>
  <si>
    <t xml:space="preserve">      Speaker Expenses</t>
  </si>
  <si>
    <t xml:space="preserve">   Severance</t>
  </si>
  <si>
    <t xml:space="preserve">      Agile PDX</t>
  </si>
  <si>
    <t>Thursday, Jan 13, 2022 02:35:16 PM GMT-8 - Cash Basis</t>
  </si>
  <si>
    <t>Statement of Cash Flows</t>
  </si>
  <si>
    <t>OPERATING ACTIVITIES</t>
  </si>
  <si>
    <t xml:space="preserve">   Net Income</t>
  </si>
  <si>
    <t xml:space="preserve">   Adjustments to reconcile Net Income to Net Cash provided by operations:</t>
  </si>
  <si>
    <t xml:space="preserve">      Accounts Receivable</t>
  </si>
  <si>
    <t xml:space="preserve">      Accounts Payable</t>
  </si>
  <si>
    <t xml:space="preserve">      Business Visa:Visa - Anna Vickers</t>
  </si>
  <si>
    <t xml:space="preserve">      Business Visa:Visa - Ellen Grove</t>
  </si>
  <si>
    <t xml:space="preserve">      Conference Rollovers</t>
  </si>
  <si>
    <t xml:space="preserve">   Total Adjustments to reconcile Net Income to Net Cash provided by operations:</t>
  </si>
  <si>
    <t>Net cash provided by operating activities</t>
  </si>
  <si>
    <t>Net cash increase for period</t>
  </si>
  <si>
    <t>Cash at beginning of period</t>
  </si>
  <si>
    <t>Cash at end of period</t>
  </si>
  <si>
    <t>A/R Aging Summary</t>
  </si>
  <si>
    <t>Current</t>
  </si>
  <si>
    <t>1 - 30</t>
  </si>
  <si>
    <t>31 - 60</t>
  </si>
  <si>
    <t>61 - 90</t>
  </si>
  <si>
    <t>91 and over</t>
  </si>
  <si>
    <t>TOTAL</t>
  </si>
  <si>
    <t>Thursday, Jan 13, 2022 02:21:24 PM GMT-8</t>
  </si>
  <si>
    <t>Thursday, Jan 13, 2022 02:36:49 PM GMT-8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</si>
</sst>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&quot;$&quot;* #,##0.00\ _€"/>
  </numFmts>
  <fonts count="7" x14ac:knownFonts="1">
    <font>
      <sz val="11"/>
      <color rgb="FF000000"/>
      <name val="Calibri"/>
    </font>
    <font>
      <b/>
      <sz val="14"/>
      <color rgb="FF000000"/>
      <name val="Arial"/>
    </font>
    <font>
      <b/>
      <sz val="10"/>
      <color rgb="FF000000"/>
      <name val="Arial"/>
    </font>
    <font>
      <b/>
      <sz val="9"/>
      <color rgb="FF000000"/>
      <name val="Arial"/>
    </font>
    <font>
      <b/>
      <sz val="8"/>
      <color rgb="FF000000"/>
      <name val="Arial"/>
    </font>
    <font>
      <sz val="8"/>
      <color rgb="FF000000"/>
      <name val="Arial"/>
    </font>
    <font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0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4" fillId="0" borderId="0" xfId="0" applyFont="1" applyAlignment="1">
      <alignment horizontal="left" wrapText="1"/>
    </xf>
    <xf numFmtId="164" fontId="5" fillId="0" borderId="0" xfId="0" applyNumberFormat="1" applyFont="1" applyAlignment="1">
      <alignment wrapText="1"/>
    </xf>
    <xf numFmtId="164" fontId="5" fillId="0" borderId="0" xfId="0" applyNumberFormat="1" applyFont="1" applyAlignment="1">
      <alignment horizontal="right" wrapText="1"/>
    </xf>
    <xf numFmtId="165" fontId="4" fillId="0" borderId="2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6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customschemas.google.com/relationships/workbookmetadata" Target="metadata"/><Relationship Id="rId3" Type="http://schemas.openxmlformats.org/officeDocument/2006/relationships/worksheet" Target="worksheets/sheet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4" Type="http://schemas.openxmlformats.org/officeDocument/2006/relationships/worksheet" Target="worksheets/sheet4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00"/>
  <sheetViews>
    <sheetView workbookViewId="0">
      <selection sqref="A1:B1"/>
    </sheetView>
  </sheetViews>
  <sheetFormatPr baseColWidth="10" defaultColWidth="14.5" defaultRowHeight="15" customHeight="1" x14ac:dyDescent="0.2"/>
  <cols>
    <col min="1" max="1" width="35.33203125" customWidth="1"/>
    <col min="2" max="2" width="12.83203125" customWidth="1"/>
    <col min="3" max="26" width="8.6640625" customWidth="1"/>
  </cols>
  <sheetData>
    <row r="1" spans="1:2" ht="18" x14ac:dyDescent="0.2">
      <c r="A1" s="7" t="s">
        <v>0</v>
      </c>
      <c r="B1" s="8"/>
    </row>
    <row r="2" spans="1:2" ht="18" x14ac:dyDescent="0.2">
      <c r="A2" s="7" t="s">
        <v>1</v>
      </c>
      <c r="B2" s="8"/>
    </row>
    <row r="3" spans="1:2" x14ac:dyDescent="0.2">
      <c r="A3" s="9" t="s">
        <v>2</v>
      </c>
      <c r="B3" s="8"/>
    </row>
    <row r="5" spans="1:2" x14ac:dyDescent="0.2">
      <c r="A5" s="1"/>
      <c r="B5" s="2" t="s">
        <v>3</v>
      </c>
    </row>
    <row r="6" spans="1:2" x14ac:dyDescent="0.2">
      <c r="A6" s="3" t="s">
        <v>4</v>
      </c>
      <c r="B6" s="4"/>
    </row>
    <row r="7" spans="1:2" x14ac:dyDescent="0.2">
      <c r="A7" s="3" t="s">
        <v>5</v>
      </c>
      <c r="B7" s="4"/>
    </row>
    <row r="8" spans="1:2" x14ac:dyDescent="0.2">
      <c r="A8" s="3" t="s">
        <v>6</v>
      </c>
      <c r="B8" s="4"/>
    </row>
    <row r="9" spans="1:2" x14ac:dyDescent="0.2">
      <c r="A9" s="3" t="s">
        <v>7</v>
      </c>
      <c r="B9" s="5">
        <f>389697.33</f>
        <v>389697.33</v>
      </c>
    </row>
    <row r="10" spans="1:2" x14ac:dyDescent="0.2">
      <c r="A10" s="3" t="s">
        <v>8</v>
      </c>
      <c r="B10" s="5">
        <f>534786.19</f>
        <v>534786.18999999994</v>
      </c>
    </row>
    <row r="11" spans="1:2" x14ac:dyDescent="0.2">
      <c r="A11" s="3" t="s">
        <v>9</v>
      </c>
      <c r="B11" s="5">
        <f>1200215.49</f>
        <v>1200215.49</v>
      </c>
    </row>
    <row r="12" spans="1:2" x14ac:dyDescent="0.2">
      <c r="A12" s="3" t="s">
        <v>10</v>
      </c>
      <c r="B12" s="6">
        <f>((B9)+(B10))+(B11)</f>
        <v>2124699.0099999998</v>
      </c>
    </row>
    <row r="13" spans="1:2" x14ac:dyDescent="0.2">
      <c r="A13" s="3" t="s">
        <v>11</v>
      </c>
      <c r="B13" s="4"/>
    </row>
    <row r="14" spans="1:2" x14ac:dyDescent="0.2">
      <c r="A14" s="3" t="s">
        <v>12</v>
      </c>
      <c r="B14" s="5">
        <f>7017</f>
        <v>7017</v>
      </c>
    </row>
    <row r="15" spans="1:2" x14ac:dyDescent="0.2">
      <c r="A15" s="3" t="s">
        <v>13</v>
      </c>
      <c r="B15" s="6">
        <f>B14</f>
        <v>7017</v>
      </c>
    </row>
    <row r="16" spans="1:2" x14ac:dyDescent="0.2">
      <c r="A16" s="3" t="s">
        <v>14</v>
      </c>
      <c r="B16" s="6">
        <f>(B12)+(B15)</f>
        <v>2131716.0099999998</v>
      </c>
    </row>
    <row r="17" spans="1:2" x14ac:dyDescent="0.2">
      <c r="A17" s="3" t="s">
        <v>15</v>
      </c>
      <c r="B17" s="6">
        <f>B16</f>
        <v>2131716.0099999998</v>
      </c>
    </row>
    <row r="18" spans="1:2" x14ac:dyDescent="0.2">
      <c r="A18" s="3" t="s">
        <v>16</v>
      </c>
      <c r="B18" s="4"/>
    </row>
    <row r="19" spans="1:2" x14ac:dyDescent="0.2">
      <c r="A19" s="3" t="s">
        <v>17</v>
      </c>
      <c r="B19" s="4"/>
    </row>
    <row r="20" spans="1:2" x14ac:dyDescent="0.2">
      <c r="A20" s="3" t="s">
        <v>18</v>
      </c>
      <c r="B20" s="4"/>
    </row>
    <row r="21" spans="1:2" ht="15.75" customHeight="1" x14ac:dyDescent="0.2">
      <c r="A21" s="3" t="s">
        <v>19</v>
      </c>
      <c r="B21" s="4"/>
    </row>
    <row r="22" spans="1:2" ht="15.75" customHeight="1" x14ac:dyDescent="0.2">
      <c r="A22" s="3" t="s">
        <v>20</v>
      </c>
      <c r="B22" s="5">
        <f>-2900</f>
        <v>-2900</v>
      </c>
    </row>
    <row r="23" spans="1:2" ht="15.75" customHeight="1" x14ac:dyDescent="0.2">
      <c r="A23" s="3" t="s">
        <v>21</v>
      </c>
      <c r="B23" s="6">
        <f>B22</f>
        <v>-2900</v>
      </c>
    </row>
    <row r="24" spans="1:2" ht="15.75" customHeight="1" x14ac:dyDescent="0.2">
      <c r="A24" s="3" t="s">
        <v>22</v>
      </c>
      <c r="B24" s="4"/>
    </row>
    <row r="25" spans="1:2" ht="15.75" customHeight="1" x14ac:dyDescent="0.2">
      <c r="A25" s="3" t="s">
        <v>23</v>
      </c>
      <c r="B25" s="5">
        <f>0</f>
        <v>0</v>
      </c>
    </row>
    <row r="26" spans="1:2" ht="15.75" customHeight="1" x14ac:dyDescent="0.2">
      <c r="A26" s="3" t="s">
        <v>24</v>
      </c>
      <c r="B26" s="5">
        <f>176.39</f>
        <v>176.39</v>
      </c>
    </row>
    <row r="27" spans="1:2" ht="15.75" customHeight="1" x14ac:dyDescent="0.2">
      <c r="A27" s="3" t="s">
        <v>25</v>
      </c>
      <c r="B27" s="5">
        <f>2414.64</f>
        <v>2414.64</v>
      </c>
    </row>
    <row r="28" spans="1:2" ht="15.75" customHeight="1" x14ac:dyDescent="0.2">
      <c r="A28" s="3" t="s">
        <v>26</v>
      </c>
      <c r="B28" s="6">
        <f>((B25)+(B26))+(B27)</f>
        <v>2591.0299999999997</v>
      </c>
    </row>
    <row r="29" spans="1:2" ht="15.75" customHeight="1" x14ac:dyDescent="0.2">
      <c r="A29" s="3" t="s">
        <v>27</v>
      </c>
      <c r="B29" s="6">
        <f>B28</f>
        <v>2591.0299999999997</v>
      </c>
    </row>
    <row r="30" spans="1:2" ht="15.75" customHeight="1" x14ac:dyDescent="0.2">
      <c r="A30" s="3" t="s">
        <v>28</v>
      </c>
      <c r="B30" s="4"/>
    </row>
    <row r="31" spans="1:2" ht="15.75" customHeight="1" x14ac:dyDescent="0.2">
      <c r="A31" s="3" t="s">
        <v>29</v>
      </c>
      <c r="B31" s="5">
        <f>13906</f>
        <v>13906</v>
      </c>
    </row>
    <row r="32" spans="1:2" ht="15.75" customHeight="1" x14ac:dyDescent="0.2">
      <c r="A32" s="3" t="s">
        <v>30</v>
      </c>
      <c r="B32" s="6">
        <f>B31</f>
        <v>13906</v>
      </c>
    </row>
    <row r="33" spans="1:2" ht="15.75" customHeight="1" x14ac:dyDescent="0.2">
      <c r="A33" s="3" t="s">
        <v>31</v>
      </c>
      <c r="B33" s="6">
        <f>((B23)+(B29))+(B32)</f>
        <v>13597.029999999999</v>
      </c>
    </row>
    <row r="34" spans="1:2" ht="15.75" customHeight="1" x14ac:dyDescent="0.2">
      <c r="A34" s="3" t="s">
        <v>32</v>
      </c>
      <c r="B34" s="6">
        <f>B33</f>
        <v>13597.029999999999</v>
      </c>
    </row>
    <row r="35" spans="1:2" ht="15.75" customHeight="1" x14ac:dyDescent="0.2">
      <c r="A35" s="3" t="s">
        <v>33</v>
      </c>
      <c r="B35" s="4"/>
    </row>
    <row r="36" spans="1:2" ht="15.75" customHeight="1" x14ac:dyDescent="0.2">
      <c r="A36" s="3" t="s">
        <v>34</v>
      </c>
      <c r="B36" s="5">
        <f>2889467.26</f>
        <v>2889467.26</v>
      </c>
    </row>
    <row r="37" spans="1:2" ht="15.75" customHeight="1" x14ac:dyDescent="0.2">
      <c r="A37" s="3" t="s">
        <v>35</v>
      </c>
      <c r="B37" s="5">
        <f>-771348.28</f>
        <v>-771348.28</v>
      </c>
    </row>
    <row r="38" spans="1:2" ht="15.75" customHeight="1" x14ac:dyDescent="0.2">
      <c r="A38" s="3" t="s">
        <v>36</v>
      </c>
      <c r="B38" s="6">
        <f>(B36)+(B37)</f>
        <v>2118118.9799999995</v>
      </c>
    </row>
    <row r="39" spans="1:2" ht="15.75" customHeight="1" x14ac:dyDescent="0.2">
      <c r="A39" s="3" t="s">
        <v>37</v>
      </c>
      <c r="B39" s="6">
        <f>(B34)+(B38)</f>
        <v>2131716.0099999993</v>
      </c>
    </row>
    <row r="40" spans="1:2" ht="15.75" customHeight="1" x14ac:dyDescent="0.2">
      <c r="A40" s="3"/>
      <c r="B40" s="4"/>
    </row>
    <row r="41" spans="1:2" ht="15.75" customHeight="1" x14ac:dyDescent="0.2"/>
    <row r="42" spans="1:2" ht="15.75" customHeight="1" x14ac:dyDescent="0.2"/>
    <row r="43" spans="1:2" ht="15.75" customHeight="1" x14ac:dyDescent="0.2">
      <c r="A43" s="10" t="s">
        <v>38</v>
      </c>
      <c r="B43" s="8"/>
    </row>
    <row r="44" spans="1:2" ht="15.75" customHeight="1" x14ac:dyDescent="0.2"/>
    <row r="45" spans="1:2" ht="15.75" customHeight="1" x14ac:dyDescent="0.2"/>
    <row r="46" spans="1:2" ht="15.75" customHeight="1" x14ac:dyDescent="0.2"/>
    <row r="47" spans="1:2" ht="15.75" customHeight="1" x14ac:dyDescent="0.2"/>
    <row r="48" spans="1:2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">
    <mergeCell ref="A1:B1"/>
    <mergeCell ref="A2:B2"/>
    <mergeCell ref="A3:B3"/>
    <mergeCell ref="A43:B43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000"/>
  <sheetViews>
    <sheetView topLeftCell="A19" workbookViewId="0">
      <selection sqref="A1:D1"/>
    </sheetView>
  </sheetViews>
  <sheetFormatPr baseColWidth="10" defaultColWidth="14.5" defaultRowHeight="15" customHeight="1" x14ac:dyDescent="0.2"/>
  <cols>
    <col min="1" max="1" width="35.33203125" customWidth="1"/>
    <col min="2" max="4" width="12" customWidth="1"/>
    <col min="5" max="26" width="8.6640625" customWidth="1"/>
  </cols>
  <sheetData>
    <row r="1" spans="1:4" ht="18" x14ac:dyDescent="0.2">
      <c r="A1" s="7" t="s">
        <v>0</v>
      </c>
      <c r="B1" s="8"/>
      <c r="C1" s="8"/>
      <c r="D1" s="8"/>
    </row>
    <row r="2" spans="1:4" ht="18" x14ac:dyDescent="0.2">
      <c r="A2" s="7" t="s">
        <v>39</v>
      </c>
      <c r="B2" s="8"/>
      <c r="C2" s="8"/>
      <c r="D2" s="8"/>
    </row>
    <row r="3" spans="1:4" x14ac:dyDescent="0.2">
      <c r="A3" s="9" t="s">
        <v>2</v>
      </c>
      <c r="B3" s="8"/>
      <c r="C3" s="8"/>
      <c r="D3" s="8"/>
    </row>
    <row r="5" spans="1:4" x14ac:dyDescent="0.2">
      <c r="A5" s="1"/>
      <c r="B5" s="11" t="s">
        <v>3</v>
      </c>
      <c r="C5" s="12"/>
      <c r="D5" s="12"/>
    </row>
    <row r="6" spans="1:4" ht="27" x14ac:dyDescent="0.2">
      <c r="A6" s="1"/>
      <c r="B6" s="2" t="s">
        <v>40</v>
      </c>
      <c r="C6" s="2" t="s">
        <v>41</v>
      </c>
      <c r="D6" s="2" t="s">
        <v>42</v>
      </c>
    </row>
    <row r="7" spans="1:4" x14ac:dyDescent="0.2">
      <c r="A7" s="3" t="s">
        <v>4</v>
      </c>
      <c r="B7" s="4"/>
      <c r="C7" s="4"/>
      <c r="D7" s="4"/>
    </row>
    <row r="8" spans="1:4" x14ac:dyDescent="0.2">
      <c r="A8" s="3" t="s">
        <v>5</v>
      </c>
      <c r="B8" s="4"/>
      <c r="C8" s="4"/>
      <c r="D8" s="4"/>
    </row>
    <row r="9" spans="1:4" x14ac:dyDescent="0.2">
      <c r="A9" s="3" t="s">
        <v>6</v>
      </c>
      <c r="B9" s="4"/>
      <c r="C9" s="4"/>
      <c r="D9" s="4"/>
    </row>
    <row r="10" spans="1:4" x14ac:dyDescent="0.2">
      <c r="A10" s="3" t="s">
        <v>7</v>
      </c>
      <c r="B10" s="5">
        <f>389697.33</f>
        <v>389697.33</v>
      </c>
      <c r="C10" s="5">
        <f>411703.59</f>
        <v>411703.59</v>
      </c>
      <c r="D10" s="5">
        <f t="shared" ref="D10:D13" si="0">(B10)-(C10)</f>
        <v>-22006.260000000009</v>
      </c>
    </row>
    <row r="11" spans="1:4" x14ac:dyDescent="0.2">
      <c r="A11" s="3" t="s">
        <v>8</v>
      </c>
      <c r="B11" s="5">
        <f>534786.19</f>
        <v>534786.18999999994</v>
      </c>
      <c r="C11" s="5">
        <f>532439.05</f>
        <v>532439.05000000005</v>
      </c>
      <c r="D11" s="5">
        <f t="shared" si="0"/>
        <v>2347.1399999998976</v>
      </c>
    </row>
    <row r="12" spans="1:4" x14ac:dyDescent="0.2">
      <c r="A12" s="3" t="s">
        <v>9</v>
      </c>
      <c r="B12" s="5">
        <f>1200215.49</f>
        <v>1200215.49</v>
      </c>
      <c r="C12" s="5">
        <f>2000086.74</f>
        <v>2000086.74</v>
      </c>
      <c r="D12" s="5">
        <f t="shared" si="0"/>
        <v>-799871.25</v>
      </c>
    </row>
    <row r="13" spans="1:4" x14ac:dyDescent="0.2">
      <c r="A13" s="3" t="s">
        <v>10</v>
      </c>
      <c r="B13" s="6">
        <f t="shared" ref="B13:C13" si="1">((B10)+(B11))+(B12)</f>
        <v>2124699.0099999998</v>
      </c>
      <c r="C13" s="6">
        <f t="shared" si="1"/>
        <v>2944229.38</v>
      </c>
      <c r="D13" s="6">
        <f t="shared" si="0"/>
        <v>-819530.37000000011</v>
      </c>
    </row>
    <row r="14" spans="1:4" x14ac:dyDescent="0.2">
      <c r="A14" s="3" t="s">
        <v>11</v>
      </c>
      <c r="B14" s="4"/>
      <c r="C14" s="4"/>
      <c r="D14" s="4"/>
    </row>
    <row r="15" spans="1:4" x14ac:dyDescent="0.2">
      <c r="A15" s="3" t="s">
        <v>43</v>
      </c>
      <c r="B15" s="5">
        <f>0</f>
        <v>0</v>
      </c>
      <c r="C15" s="5">
        <f>8444.88</f>
        <v>8444.8799999999992</v>
      </c>
      <c r="D15" s="5">
        <f t="shared" ref="D15:D19" si="2">(B15)-(C15)</f>
        <v>-8444.8799999999992</v>
      </c>
    </row>
    <row r="16" spans="1:4" x14ac:dyDescent="0.2">
      <c r="A16" s="3" t="s">
        <v>12</v>
      </c>
      <c r="B16" s="5">
        <f t="shared" ref="B16:C16" si="3">7017</f>
        <v>7017</v>
      </c>
      <c r="C16" s="5">
        <f t="shared" si="3"/>
        <v>7017</v>
      </c>
      <c r="D16" s="5">
        <f t="shared" si="2"/>
        <v>0</v>
      </c>
    </row>
    <row r="17" spans="1:4" x14ac:dyDescent="0.2">
      <c r="A17" s="3" t="s">
        <v>13</v>
      </c>
      <c r="B17" s="6">
        <f t="shared" ref="B17:C17" si="4">(B15)+(B16)</f>
        <v>7017</v>
      </c>
      <c r="C17" s="6">
        <f t="shared" si="4"/>
        <v>15461.88</v>
      </c>
      <c r="D17" s="6">
        <f t="shared" si="2"/>
        <v>-8444.8799999999992</v>
      </c>
    </row>
    <row r="18" spans="1:4" x14ac:dyDescent="0.2">
      <c r="A18" s="3" t="s">
        <v>14</v>
      </c>
      <c r="B18" s="6">
        <f t="shared" ref="B18:C18" si="5">(B13)+(B17)</f>
        <v>2131716.0099999998</v>
      </c>
      <c r="C18" s="6">
        <f t="shared" si="5"/>
        <v>2959691.26</v>
      </c>
      <c r="D18" s="6">
        <f t="shared" si="2"/>
        <v>-827975.25</v>
      </c>
    </row>
    <row r="19" spans="1:4" x14ac:dyDescent="0.2">
      <c r="A19" s="3" t="s">
        <v>15</v>
      </c>
      <c r="B19" s="6">
        <f t="shared" ref="B19:C19" si="6">B18</f>
        <v>2131716.0099999998</v>
      </c>
      <c r="C19" s="6">
        <f t="shared" si="6"/>
        <v>2959691.26</v>
      </c>
      <c r="D19" s="6">
        <f t="shared" si="2"/>
        <v>-827975.25</v>
      </c>
    </row>
    <row r="20" spans="1:4" x14ac:dyDescent="0.2">
      <c r="A20" s="3" t="s">
        <v>16</v>
      </c>
      <c r="B20" s="4"/>
      <c r="C20" s="4"/>
      <c r="D20" s="4"/>
    </row>
    <row r="21" spans="1:4" ht="15.75" customHeight="1" x14ac:dyDescent="0.2">
      <c r="A21" s="3" t="s">
        <v>17</v>
      </c>
      <c r="B21" s="4"/>
      <c r="C21" s="4"/>
      <c r="D21" s="4"/>
    </row>
    <row r="22" spans="1:4" ht="15.75" customHeight="1" x14ac:dyDescent="0.2">
      <c r="A22" s="3" t="s">
        <v>18</v>
      </c>
      <c r="B22" s="4"/>
      <c r="C22" s="4"/>
      <c r="D22" s="4"/>
    </row>
    <row r="23" spans="1:4" ht="15.75" customHeight="1" x14ac:dyDescent="0.2">
      <c r="A23" s="3" t="s">
        <v>19</v>
      </c>
      <c r="B23" s="4"/>
      <c r="C23" s="4"/>
      <c r="D23" s="4"/>
    </row>
    <row r="24" spans="1:4" ht="15.75" customHeight="1" x14ac:dyDescent="0.2">
      <c r="A24" s="3" t="s">
        <v>20</v>
      </c>
      <c r="B24" s="5">
        <f>-2900</f>
        <v>-2900</v>
      </c>
      <c r="C24" s="5">
        <f>0</f>
        <v>0</v>
      </c>
      <c r="D24" s="5">
        <f t="shared" ref="D24:D25" si="7">(B24)-(C24)</f>
        <v>-2900</v>
      </c>
    </row>
    <row r="25" spans="1:4" ht="15.75" customHeight="1" x14ac:dyDescent="0.2">
      <c r="A25" s="3" t="s">
        <v>21</v>
      </c>
      <c r="B25" s="6">
        <f t="shared" ref="B25:C25" si="8">B24</f>
        <v>-2900</v>
      </c>
      <c r="C25" s="6">
        <f t="shared" si="8"/>
        <v>0</v>
      </c>
      <c r="D25" s="6">
        <f t="shared" si="7"/>
        <v>-2900</v>
      </c>
    </row>
    <row r="26" spans="1:4" ht="15.75" customHeight="1" x14ac:dyDescent="0.2">
      <c r="A26" s="3" t="s">
        <v>22</v>
      </c>
      <c r="B26" s="4"/>
      <c r="C26" s="4"/>
      <c r="D26" s="4"/>
    </row>
    <row r="27" spans="1:4" ht="15.75" customHeight="1" x14ac:dyDescent="0.2">
      <c r="A27" s="3" t="s">
        <v>23</v>
      </c>
      <c r="B27" s="5">
        <f t="shared" ref="B27:C27" si="9">0</f>
        <v>0</v>
      </c>
      <c r="C27" s="5">
        <f t="shared" si="9"/>
        <v>0</v>
      </c>
      <c r="D27" s="5">
        <f t="shared" ref="D27:D31" si="10">(B27)-(C27)</f>
        <v>0</v>
      </c>
    </row>
    <row r="28" spans="1:4" ht="15.75" customHeight="1" x14ac:dyDescent="0.2">
      <c r="A28" s="3" t="s">
        <v>24</v>
      </c>
      <c r="B28" s="5">
        <f>176.39</f>
        <v>176.39</v>
      </c>
      <c r="C28" s="5">
        <f t="shared" ref="C28:C29" si="11">0</f>
        <v>0</v>
      </c>
      <c r="D28" s="5">
        <f t="shared" si="10"/>
        <v>176.39</v>
      </c>
    </row>
    <row r="29" spans="1:4" ht="15.75" customHeight="1" x14ac:dyDescent="0.2">
      <c r="A29" s="3" t="s">
        <v>25</v>
      </c>
      <c r="B29" s="5">
        <f>2414.64</f>
        <v>2414.64</v>
      </c>
      <c r="C29" s="5">
        <f t="shared" si="11"/>
        <v>0</v>
      </c>
      <c r="D29" s="5">
        <f t="shared" si="10"/>
        <v>2414.64</v>
      </c>
    </row>
    <row r="30" spans="1:4" ht="15.75" customHeight="1" x14ac:dyDescent="0.2">
      <c r="A30" s="3" t="s">
        <v>26</v>
      </c>
      <c r="B30" s="6">
        <f t="shared" ref="B30:C30" si="12">((B27)+(B28))+(B29)</f>
        <v>2591.0299999999997</v>
      </c>
      <c r="C30" s="6">
        <f t="shared" si="12"/>
        <v>0</v>
      </c>
      <c r="D30" s="6">
        <f t="shared" si="10"/>
        <v>2591.0299999999997</v>
      </c>
    </row>
    <row r="31" spans="1:4" ht="15.75" customHeight="1" x14ac:dyDescent="0.2">
      <c r="A31" s="3" t="s">
        <v>27</v>
      </c>
      <c r="B31" s="6">
        <f t="shared" ref="B31:C31" si="13">B30</f>
        <v>2591.0299999999997</v>
      </c>
      <c r="C31" s="6">
        <f t="shared" si="13"/>
        <v>0</v>
      </c>
      <c r="D31" s="6">
        <f t="shared" si="10"/>
        <v>2591.0299999999997</v>
      </c>
    </row>
    <row r="32" spans="1:4" ht="15.75" customHeight="1" x14ac:dyDescent="0.2">
      <c r="A32" s="3" t="s">
        <v>28</v>
      </c>
      <c r="B32" s="4"/>
      <c r="C32" s="4"/>
      <c r="D32" s="4"/>
    </row>
    <row r="33" spans="1:4" ht="15.75" customHeight="1" x14ac:dyDescent="0.2">
      <c r="A33" s="3" t="s">
        <v>29</v>
      </c>
      <c r="B33" s="5">
        <f>13906</f>
        <v>13906</v>
      </c>
      <c r="C33" s="5">
        <f>70224</f>
        <v>70224</v>
      </c>
      <c r="D33" s="5">
        <f t="shared" ref="D33:D36" si="14">(B33)-(C33)</f>
        <v>-56318</v>
      </c>
    </row>
    <row r="34" spans="1:4" ht="15.75" customHeight="1" x14ac:dyDescent="0.2">
      <c r="A34" s="3" t="s">
        <v>30</v>
      </c>
      <c r="B34" s="6">
        <f t="shared" ref="B34:C34" si="15">B33</f>
        <v>13906</v>
      </c>
      <c r="C34" s="6">
        <f t="shared" si="15"/>
        <v>70224</v>
      </c>
      <c r="D34" s="6">
        <f t="shared" si="14"/>
        <v>-56318</v>
      </c>
    </row>
    <row r="35" spans="1:4" ht="15.75" customHeight="1" x14ac:dyDescent="0.2">
      <c r="A35" s="3" t="s">
        <v>31</v>
      </c>
      <c r="B35" s="6">
        <f t="shared" ref="B35:C35" si="16">((B25)+(B31))+(B34)</f>
        <v>13597.029999999999</v>
      </c>
      <c r="C35" s="6">
        <f t="shared" si="16"/>
        <v>70224</v>
      </c>
      <c r="D35" s="6">
        <f t="shared" si="14"/>
        <v>-56626.97</v>
      </c>
    </row>
    <row r="36" spans="1:4" ht="15.75" customHeight="1" x14ac:dyDescent="0.2">
      <c r="A36" s="3" t="s">
        <v>32</v>
      </c>
      <c r="B36" s="6">
        <f t="shared" ref="B36:C36" si="17">B35</f>
        <v>13597.029999999999</v>
      </c>
      <c r="C36" s="6">
        <f t="shared" si="17"/>
        <v>70224</v>
      </c>
      <c r="D36" s="6">
        <f t="shared" si="14"/>
        <v>-56626.97</v>
      </c>
    </row>
    <row r="37" spans="1:4" ht="15.75" customHeight="1" x14ac:dyDescent="0.2">
      <c r="A37" s="3" t="s">
        <v>33</v>
      </c>
      <c r="B37" s="4"/>
      <c r="C37" s="4"/>
      <c r="D37" s="4"/>
    </row>
    <row r="38" spans="1:4" ht="15.75" customHeight="1" x14ac:dyDescent="0.2">
      <c r="A38" s="3" t="s">
        <v>34</v>
      </c>
      <c r="B38" s="5">
        <f>2889467.26</f>
        <v>2889467.26</v>
      </c>
      <c r="C38" s="5">
        <f>5109130.2</f>
        <v>5109130.2</v>
      </c>
      <c r="D38" s="5">
        <f t="shared" ref="D38:D41" si="18">(B38)-(C38)</f>
        <v>-2219662.9400000004</v>
      </c>
    </row>
    <row r="39" spans="1:4" ht="15.75" customHeight="1" x14ac:dyDescent="0.2">
      <c r="A39" s="3" t="s">
        <v>35</v>
      </c>
      <c r="B39" s="5">
        <f>-771348.28</f>
        <v>-771348.28</v>
      </c>
      <c r="C39" s="5">
        <f>-2219662.94</f>
        <v>-2219662.94</v>
      </c>
      <c r="D39" s="5">
        <f t="shared" si="18"/>
        <v>1448314.66</v>
      </c>
    </row>
    <row r="40" spans="1:4" ht="15.75" customHeight="1" x14ac:dyDescent="0.2">
      <c r="A40" s="3" t="s">
        <v>36</v>
      </c>
      <c r="B40" s="6">
        <f t="shared" ref="B40:C40" si="19">(B38)+(B39)</f>
        <v>2118118.9799999995</v>
      </c>
      <c r="C40" s="6">
        <f t="shared" si="19"/>
        <v>2889467.2600000002</v>
      </c>
      <c r="D40" s="6">
        <f t="shared" si="18"/>
        <v>-771348.28000000073</v>
      </c>
    </row>
    <row r="41" spans="1:4" ht="15.75" customHeight="1" x14ac:dyDescent="0.2">
      <c r="A41" s="3" t="s">
        <v>37</v>
      </c>
      <c r="B41" s="6">
        <f t="shared" ref="B41:C41" si="20">(B36)+(B40)</f>
        <v>2131716.0099999993</v>
      </c>
      <c r="C41" s="6">
        <f t="shared" si="20"/>
        <v>2959691.2600000002</v>
      </c>
      <c r="D41" s="6">
        <f t="shared" si="18"/>
        <v>-827975.25000000093</v>
      </c>
    </row>
    <row r="42" spans="1:4" ht="15.75" customHeight="1" x14ac:dyDescent="0.2">
      <c r="A42" s="3"/>
      <c r="B42" s="4"/>
      <c r="C42" s="4"/>
      <c r="D42" s="4"/>
    </row>
    <row r="43" spans="1:4" ht="15.75" customHeight="1" x14ac:dyDescent="0.2"/>
    <row r="44" spans="1:4" ht="15.75" customHeight="1" x14ac:dyDescent="0.2"/>
    <row r="45" spans="1:4" ht="15.75" customHeight="1" x14ac:dyDescent="0.2">
      <c r="A45" s="10" t="s">
        <v>44</v>
      </c>
      <c r="B45" s="8"/>
      <c r="C45" s="8"/>
      <c r="D45" s="8"/>
    </row>
    <row r="46" spans="1:4" ht="15.75" customHeight="1" x14ac:dyDescent="0.2"/>
    <row r="47" spans="1:4" ht="15.75" customHeight="1" x14ac:dyDescent="0.2"/>
    <row r="48" spans="1:4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5">
    <mergeCell ref="A1:D1"/>
    <mergeCell ref="A2:D2"/>
    <mergeCell ref="A3:D3"/>
    <mergeCell ref="B5:D5"/>
    <mergeCell ref="A45:D45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00"/>
  <sheetViews>
    <sheetView workbookViewId="0">
      <selection sqref="A1:B1"/>
    </sheetView>
  </sheetViews>
  <sheetFormatPr baseColWidth="10" defaultColWidth="14.5" defaultRowHeight="15" customHeight="1" x14ac:dyDescent="0.2"/>
  <cols>
    <col min="1" max="1" width="31.83203125" customWidth="1"/>
    <col min="2" max="2" width="13.6640625" customWidth="1"/>
    <col min="3" max="26" width="8.6640625" customWidth="1"/>
  </cols>
  <sheetData>
    <row r="1" spans="1:2" ht="18" x14ac:dyDescent="0.2">
      <c r="A1" s="7" t="s">
        <v>0</v>
      </c>
      <c r="B1" s="8"/>
    </row>
    <row r="2" spans="1:2" ht="18" x14ac:dyDescent="0.2">
      <c r="A2" s="7" t="s">
        <v>45</v>
      </c>
      <c r="B2" s="8"/>
    </row>
    <row r="3" spans="1:2" x14ac:dyDescent="0.2">
      <c r="A3" s="9" t="s">
        <v>114</v>
      </c>
      <c r="B3" s="8"/>
    </row>
    <row r="5" spans="1:2" x14ac:dyDescent="0.2">
      <c r="A5" s="1"/>
      <c r="B5" s="2" t="s">
        <v>3</v>
      </c>
    </row>
    <row r="6" spans="1:2" x14ac:dyDescent="0.2">
      <c r="A6" s="3" t="s">
        <v>46</v>
      </c>
      <c r="B6" s="4"/>
    </row>
    <row r="7" spans="1:2" x14ac:dyDescent="0.2">
      <c r="A7" s="3" t="s">
        <v>47</v>
      </c>
      <c r="B7" s="4"/>
    </row>
    <row r="8" spans="1:2" x14ac:dyDescent="0.2">
      <c r="A8" s="3" t="s">
        <v>48</v>
      </c>
      <c r="B8" s="5">
        <f>106136.49</f>
        <v>106136.49</v>
      </c>
    </row>
    <row r="9" spans="1:2" x14ac:dyDescent="0.2">
      <c r="A9" s="3" t="s">
        <v>49</v>
      </c>
      <c r="B9" s="5">
        <f>2803.75</f>
        <v>2803.75</v>
      </c>
    </row>
    <row r="10" spans="1:2" x14ac:dyDescent="0.2">
      <c r="A10" s="3" t="s">
        <v>50</v>
      </c>
      <c r="B10" s="5">
        <f>28500</f>
        <v>28500</v>
      </c>
    </row>
    <row r="11" spans="1:2" x14ac:dyDescent="0.2">
      <c r="A11" s="3" t="s">
        <v>51</v>
      </c>
      <c r="B11" s="6">
        <f>(((B7)+(B8))+(B9))+(B10)</f>
        <v>137440.24</v>
      </c>
    </row>
    <row r="12" spans="1:2" x14ac:dyDescent="0.2">
      <c r="A12" s="3" t="s">
        <v>52</v>
      </c>
      <c r="B12" s="4"/>
    </row>
    <row r="13" spans="1:2" x14ac:dyDescent="0.2">
      <c r="A13" s="3" t="s">
        <v>53</v>
      </c>
      <c r="B13" s="5">
        <f>41900</f>
        <v>41900</v>
      </c>
    </row>
    <row r="14" spans="1:2" x14ac:dyDescent="0.2">
      <c r="A14" s="3" t="s">
        <v>54</v>
      </c>
      <c r="B14" s="5">
        <f>21892</f>
        <v>21892</v>
      </c>
    </row>
    <row r="15" spans="1:2" x14ac:dyDescent="0.2">
      <c r="A15" s="3" t="s">
        <v>55</v>
      </c>
      <c r="B15" s="6">
        <f>((B12)+(B13))+(B14)</f>
        <v>63792</v>
      </c>
    </row>
    <row r="16" spans="1:2" x14ac:dyDescent="0.2">
      <c r="A16" s="3" t="s">
        <v>56</v>
      </c>
      <c r="B16" s="6">
        <f>(B11)+(B15)</f>
        <v>201232.24</v>
      </c>
    </row>
    <row r="17" spans="1:2" x14ac:dyDescent="0.2">
      <c r="A17" s="3" t="s">
        <v>57</v>
      </c>
      <c r="B17" s="6">
        <f>(B16)-(0)</f>
        <v>201232.24</v>
      </c>
    </row>
    <row r="18" spans="1:2" x14ac:dyDescent="0.2">
      <c r="A18" s="3" t="s">
        <v>58</v>
      </c>
      <c r="B18" s="4"/>
    </row>
    <row r="19" spans="1:2" x14ac:dyDescent="0.2">
      <c r="A19" s="3" t="s">
        <v>59</v>
      </c>
      <c r="B19" s="4"/>
    </row>
    <row r="20" spans="1:2" x14ac:dyDescent="0.2">
      <c r="A20" s="3" t="s">
        <v>60</v>
      </c>
      <c r="B20" s="5">
        <f>1726.03</f>
        <v>1726.03</v>
      </c>
    </row>
    <row r="21" spans="1:2" ht="15.75" customHeight="1" x14ac:dyDescent="0.2">
      <c r="A21" s="3" t="s">
        <v>61</v>
      </c>
      <c r="B21" s="5">
        <f>47724.76</f>
        <v>47724.76</v>
      </c>
    </row>
    <row r="22" spans="1:2" ht="15.75" customHeight="1" x14ac:dyDescent="0.2">
      <c r="A22" s="3" t="s">
        <v>62</v>
      </c>
      <c r="B22" s="5">
        <f>8696.99</f>
        <v>8696.99</v>
      </c>
    </row>
    <row r="23" spans="1:2" ht="15.75" customHeight="1" x14ac:dyDescent="0.2">
      <c r="A23" s="3" t="s">
        <v>115</v>
      </c>
      <c r="B23" s="5">
        <f>750</f>
        <v>750</v>
      </c>
    </row>
    <row r="24" spans="1:2" ht="15.75" customHeight="1" x14ac:dyDescent="0.2">
      <c r="A24" s="3" t="s">
        <v>63</v>
      </c>
      <c r="B24" s="5">
        <f>3105</f>
        <v>3105</v>
      </c>
    </row>
    <row r="25" spans="1:2" ht="15.75" customHeight="1" x14ac:dyDescent="0.2">
      <c r="A25" s="3" t="s">
        <v>64</v>
      </c>
      <c r="B25" s="4"/>
    </row>
    <row r="26" spans="1:2" ht="15.75" customHeight="1" x14ac:dyDescent="0.2">
      <c r="A26" s="3" t="s">
        <v>65</v>
      </c>
      <c r="B26" s="5">
        <f>1342.32</f>
        <v>1342.32</v>
      </c>
    </row>
    <row r="27" spans="1:2" ht="15.75" customHeight="1" x14ac:dyDescent="0.2">
      <c r="A27" s="3" t="s">
        <v>116</v>
      </c>
      <c r="B27" s="5">
        <f>378.71</f>
        <v>378.71</v>
      </c>
    </row>
    <row r="28" spans="1:2" ht="15.75" customHeight="1" x14ac:dyDescent="0.2">
      <c r="A28" s="3" t="s">
        <v>66</v>
      </c>
      <c r="B28" s="6">
        <f>((B25)+(B26))+(B27)</f>
        <v>1721.03</v>
      </c>
    </row>
    <row r="29" spans="1:2" ht="15.75" customHeight="1" x14ac:dyDescent="0.2">
      <c r="A29" s="3" t="s">
        <v>67</v>
      </c>
      <c r="B29" s="5">
        <f>13375.48</f>
        <v>13375.48</v>
      </c>
    </row>
    <row r="30" spans="1:2" ht="15.75" customHeight="1" x14ac:dyDescent="0.2">
      <c r="A30" s="3" t="s">
        <v>68</v>
      </c>
      <c r="B30" s="5">
        <f>860.5</f>
        <v>860.5</v>
      </c>
    </row>
    <row r="31" spans="1:2" ht="15.75" customHeight="1" x14ac:dyDescent="0.2">
      <c r="A31" s="3" t="s">
        <v>69</v>
      </c>
      <c r="B31" s="6">
        <f>((((((((B19)+(B20))+(B21))+(B22))+(B23))+(B24))+(B28))+(B29))+(B30)</f>
        <v>77959.789999999994</v>
      </c>
    </row>
    <row r="32" spans="1:2" ht="15.75" customHeight="1" x14ac:dyDescent="0.2">
      <c r="A32" s="3" t="s">
        <v>70</v>
      </c>
      <c r="B32" s="4"/>
    </row>
    <row r="33" spans="1:2" ht="15.75" customHeight="1" x14ac:dyDescent="0.2">
      <c r="A33" s="3" t="s">
        <v>71</v>
      </c>
      <c r="B33" s="5">
        <f>402.63</f>
        <v>402.63</v>
      </c>
    </row>
    <row r="34" spans="1:2" ht="15.75" customHeight="1" x14ac:dyDescent="0.2">
      <c r="A34" s="3" t="s">
        <v>72</v>
      </c>
      <c r="B34" s="5">
        <f>143.89</f>
        <v>143.88999999999999</v>
      </c>
    </row>
    <row r="35" spans="1:2" ht="15.75" customHeight="1" x14ac:dyDescent="0.2">
      <c r="A35" s="3" t="s">
        <v>73</v>
      </c>
      <c r="B35" s="5">
        <f>913.26</f>
        <v>913.26</v>
      </c>
    </row>
    <row r="36" spans="1:2" ht="15.75" customHeight="1" x14ac:dyDescent="0.2">
      <c r="A36" s="3" t="s">
        <v>74</v>
      </c>
      <c r="B36" s="6">
        <f>(((B32)+(B33))+(B34))+(B35)</f>
        <v>1459.78</v>
      </c>
    </row>
    <row r="37" spans="1:2" ht="15.75" customHeight="1" x14ac:dyDescent="0.2">
      <c r="A37" s="3" t="s">
        <v>75</v>
      </c>
      <c r="B37" s="4"/>
    </row>
    <row r="38" spans="1:2" ht="15.75" customHeight="1" x14ac:dyDescent="0.2">
      <c r="A38" s="3" t="s">
        <v>76</v>
      </c>
      <c r="B38" s="5">
        <f>309.73</f>
        <v>309.73</v>
      </c>
    </row>
    <row r="39" spans="1:2" ht="15.75" customHeight="1" x14ac:dyDescent="0.2">
      <c r="A39" s="3" t="s">
        <v>77</v>
      </c>
      <c r="B39" s="4"/>
    </row>
    <row r="40" spans="1:2" ht="15.75" customHeight="1" x14ac:dyDescent="0.2">
      <c r="A40" s="3" t="s">
        <v>78</v>
      </c>
      <c r="B40" s="5">
        <f>9000</f>
        <v>9000</v>
      </c>
    </row>
    <row r="41" spans="1:2" ht="15.75" customHeight="1" x14ac:dyDescent="0.2">
      <c r="A41" s="3" t="s">
        <v>79</v>
      </c>
      <c r="B41" s="5">
        <f>56700</f>
        <v>56700</v>
      </c>
    </row>
    <row r="42" spans="1:2" ht="15.75" customHeight="1" x14ac:dyDescent="0.2">
      <c r="A42" s="3" t="s">
        <v>80</v>
      </c>
      <c r="B42" s="5">
        <f>14700</f>
        <v>14700</v>
      </c>
    </row>
    <row r="43" spans="1:2" ht="15.75" customHeight="1" x14ac:dyDescent="0.2">
      <c r="A43" s="3" t="s">
        <v>81</v>
      </c>
      <c r="B43" s="5">
        <f>7800</f>
        <v>7800</v>
      </c>
    </row>
    <row r="44" spans="1:2" ht="15.75" customHeight="1" x14ac:dyDescent="0.2">
      <c r="A44" s="3" t="s">
        <v>82</v>
      </c>
      <c r="B44" s="6">
        <f>((((B39)+(B40))+(B41))+(B42))+(B43)</f>
        <v>88200</v>
      </c>
    </row>
    <row r="45" spans="1:2" ht="15.75" customHeight="1" x14ac:dyDescent="0.2">
      <c r="A45" s="3" t="s">
        <v>83</v>
      </c>
      <c r="B45" s="5">
        <f>3605.54</f>
        <v>3605.54</v>
      </c>
    </row>
    <row r="46" spans="1:2" ht="15.75" customHeight="1" x14ac:dyDescent="0.2">
      <c r="A46" s="3" t="s">
        <v>84</v>
      </c>
      <c r="B46" s="5">
        <f>828.36</f>
        <v>828.36</v>
      </c>
    </row>
    <row r="47" spans="1:2" ht="15.75" customHeight="1" x14ac:dyDescent="0.2">
      <c r="A47" s="3" t="s">
        <v>85</v>
      </c>
      <c r="B47" s="5">
        <f>138.15</f>
        <v>138.15</v>
      </c>
    </row>
    <row r="48" spans="1:2" ht="15.75" customHeight="1" x14ac:dyDescent="0.2">
      <c r="A48" s="3" t="s">
        <v>86</v>
      </c>
      <c r="B48" s="4"/>
    </row>
    <row r="49" spans="1:2" ht="15.75" customHeight="1" x14ac:dyDescent="0.2">
      <c r="A49" s="3" t="s">
        <v>87</v>
      </c>
      <c r="B49" s="5">
        <f>410</f>
        <v>410</v>
      </c>
    </row>
    <row r="50" spans="1:2" ht="15.75" customHeight="1" x14ac:dyDescent="0.2">
      <c r="A50" s="3" t="s">
        <v>88</v>
      </c>
      <c r="B50" s="6">
        <f>(B48)+(B49)</f>
        <v>410</v>
      </c>
    </row>
    <row r="51" spans="1:2" ht="15.75" customHeight="1" x14ac:dyDescent="0.2">
      <c r="A51" s="3" t="s">
        <v>89</v>
      </c>
      <c r="B51" s="5">
        <f>7781.51</f>
        <v>7781.51</v>
      </c>
    </row>
    <row r="52" spans="1:2" ht="15.75" customHeight="1" x14ac:dyDescent="0.2">
      <c r="A52" s="3" t="s">
        <v>117</v>
      </c>
      <c r="B52" s="4"/>
    </row>
    <row r="53" spans="1:2" ht="15.75" customHeight="1" x14ac:dyDescent="0.2">
      <c r="A53" s="3" t="s">
        <v>118</v>
      </c>
      <c r="B53" s="5">
        <f>101.38</f>
        <v>101.38</v>
      </c>
    </row>
    <row r="54" spans="1:2" ht="15.75" customHeight="1" x14ac:dyDescent="0.2">
      <c r="A54" s="3" t="s">
        <v>119</v>
      </c>
      <c r="B54" s="5">
        <f>199.2</f>
        <v>199.2</v>
      </c>
    </row>
    <row r="55" spans="1:2" ht="15.75" customHeight="1" x14ac:dyDescent="0.2">
      <c r="A55" s="3" t="s">
        <v>120</v>
      </c>
      <c r="B55" s="6">
        <f>((B52)+(B53))+(B54)</f>
        <v>300.58</v>
      </c>
    </row>
    <row r="56" spans="1:2" ht="15.75" customHeight="1" x14ac:dyDescent="0.2">
      <c r="A56" s="3" t="s">
        <v>90</v>
      </c>
      <c r="B56" s="6">
        <f>((((((((B37)+(B38))+(B44))+(B45))+(B46))+(B47))+(B50))+(B51))+(B55)</f>
        <v>101573.86999999998</v>
      </c>
    </row>
    <row r="57" spans="1:2" ht="15.75" customHeight="1" x14ac:dyDescent="0.2">
      <c r="A57" s="3" t="s">
        <v>91</v>
      </c>
      <c r="B57" s="4"/>
    </row>
    <row r="58" spans="1:2" ht="15.75" customHeight="1" x14ac:dyDescent="0.2">
      <c r="A58" s="3" t="s">
        <v>92</v>
      </c>
      <c r="B58" s="5">
        <f>35888.94</f>
        <v>35888.94</v>
      </c>
    </row>
    <row r="59" spans="1:2" ht="15.75" customHeight="1" x14ac:dyDescent="0.2">
      <c r="A59" s="3" t="s">
        <v>93</v>
      </c>
      <c r="B59" s="5">
        <f>598.5</f>
        <v>598.5</v>
      </c>
    </row>
    <row r="60" spans="1:2" ht="15.75" customHeight="1" x14ac:dyDescent="0.2">
      <c r="A60" s="3" t="s">
        <v>94</v>
      </c>
      <c r="B60" s="5">
        <f>107666.44</f>
        <v>107666.44</v>
      </c>
    </row>
    <row r="61" spans="1:2" ht="15.75" customHeight="1" x14ac:dyDescent="0.2">
      <c r="A61" s="3" t="s">
        <v>95</v>
      </c>
      <c r="B61" s="5">
        <f>8094.4</f>
        <v>8094.4</v>
      </c>
    </row>
    <row r="62" spans="1:2" ht="15.75" customHeight="1" x14ac:dyDescent="0.2">
      <c r="A62" s="3" t="s">
        <v>96</v>
      </c>
      <c r="B62" s="5">
        <f>302.12</f>
        <v>302.12</v>
      </c>
    </row>
    <row r="63" spans="1:2" ht="15.75" customHeight="1" x14ac:dyDescent="0.2">
      <c r="A63" s="3" t="s">
        <v>97</v>
      </c>
      <c r="B63" s="6">
        <f>(((((B57)+(B58))+(B59))+(B60))+(B61))+(B62)</f>
        <v>152550.39999999999</v>
      </c>
    </row>
    <row r="64" spans="1:2" ht="15.75" customHeight="1" x14ac:dyDescent="0.2">
      <c r="A64" s="3" t="s">
        <v>98</v>
      </c>
      <c r="B64" s="4"/>
    </row>
    <row r="65" spans="1:2" ht="15.75" customHeight="1" x14ac:dyDescent="0.2">
      <c r="A65" s="3" t="s">
        <v>99</v>
      </c>
      <c r="B65" s="5">
        <f>-3995.25</f>
        <v>-3995.25</v>
      </c>
    </row>
    <row r="66" spans="1:2" ht="15.75" customHeight="1" x14ac:dyDescent="0.2">
      <c r="A66" s="3" t="s">
        <v>121</v>
      </c>
      <c r="B66" s="5">
        <f>500</f>
        <v>500</v>
      </c>
    </row>
    <row r="67" spans="1:2" ht="15.75" customHeight="1" x14ac:dyDescent="0.2">
      <c r="A67" s="3" t="s">
        <v>122</v>
      </c>
      <c r="B67" s="5">
        <f>270</f>
        <v>270</v>
      </c>
    </row>
    <row r="68" spans="1:2" ht="15.75" customHeight="1" x14ac:dyDescent="0.2">
      <c r="A68" s="3" t="s">
        <v>123</v>
      </c>
      <c r="B68" s="5">
        <f>5653.69</f>
        <v>5653.69</v>
      </c>
    </row>
    <row r="69" spans="1:2" ht="15.75" customHeight="1" x14ac:dyDescent="0.2">
      <c r="A69" s="3" t="s">
        <v>124</v>
      </c>
      <c r="B69" s="5">
        <f>1500</f>
        <v>1500</v>
      </c>
    </row>
    <row r="70" spans="1:2" ht="15.75" customHeight="1" x14ac:dyDescent="0.2">
      <c r="A70" s="3" t="s">
        <v>125</v>
      </c>
      <c r="B70" s="5">
        <f>750</f>
        <v>750</v>
      </c>
    </row>
    <row r="71" spans="1:2" ht="15.75" customHeight="1" x14ac:dyDescent="0.2">
      <c r="A71" s="3" t="s">
        <v>100</v>
      </c>
      <c r="B71" s="6">
        <f>((((((B64)+(B65))+(B66))+(B67))+(B68))+(B69))+(B70)</f>
        <v>4678.4399999999996</v>
      </c>
    </row>
    <row r="72" spans="1:2" ht="15.75" customHeight="1" x14ac:dyDescent="0.2">
      <c r="A72" s="3" t="s">
        <v>101</v>
      </c>
      <c r="B72" s="6">
        <f>((((B31)+(B36))+(B56))+(B63))+(B71)</f>
        <v>338222.27999999997</v>
      </c>
    </row>
    <row r="73" spans="1:2" ht="15.75" customHeight="1" x14ac:dyDescent="0.2">
      <c r="A73" s="3" t="s">
        <v>102</v>
      </c>
      <c r="B73" s="6">
        <f>(B17)-(B72)</f>
        <v>-136990.03999999998</v>
      </c>
    </row>
    <row r="74" spans="1:2" ht="15.75" customHeight="1" x14ac:dyDescent="0.2">
      <c r="A74" s="3" t="s">
        <v>103</v>
      </c>
      <c r="B74" s="4"/>
    </row>
    <row r="75" spans="1:2" ht="15.75" customHeight="1" x14ac:dyDescent="0.2">
      <c r="A75" s="3" t="s">
        <v>104</v>
      </c>
      <c r="B75" s="5">
        <f>30.24</f>
        <v>30.24</v>
      </c>
    </row>
    <row r="76" spans="1:2" ht="15.75" customHeight="1" x14ac:dyDescent="0.2">
      <c r="A76" s="3" t="s">
        <v>105</v>
      </c>
      <c r="B76" s="5">
        <f>866.2</f>
        <v>866.2</v>
      </c>
    </row>
    <row r="77" spans="1:2" ht="15.75" customHeight="1" x14ac:dyDescent="0.2">
      <c r="A77" s="3" t="s">
        <v>126</v>
      </c>
      <c r="B77" s="5">
        <f>7691.77</f>
        <v>7691.77</v>
      </c>
    </row>
    <row r="78" spans="1:2" ht="15.75" customHeight="1" x14ac:dyDescent="0.2">
      <c r="A78" s="3" t="s">
        <v>106</v>
      </c>
      <c r="B78" s="6">
        <f>((B75)+(B76))+(B77)</f>
        <v>8588.2100000000009</v>
      </c>
    </row>
    <row r="79" spans="1:2" ht="15.75" customHeight="1" x14ac:dyDescent="0.2">
      <c r="A79" s="3" t="s">
        <v>107</v>
      </c>
      <c r="B79" s="4"/>
    </row>
    <row r="80" spans="1:2" ht="15.75" customHeight="1" x14ac:dyDescent="0.2">
      <c r="A80" s="3" t="s">
        <v>108</v>
      </c>
      <c r="B80" s="4"/>
    </row>
    <row r="81" spans="1:2" ht="15.75" customHeight="1" x14ac:dyDescent="0.2">
      <c r="A81" s="3" t="s">
        <v>109</v>
      </c>
      <c r="B81" s="5">
        <f>184.99</f>
        <v>184.99</v>
      </c>
    </row>
    <row r="82" spans="1:2" ht="15.75" customHeight="1" x14ac:dyDescent="0.2">
      <c r="A82" s="3" t="s">
        <v>110</v>
      </c>
      <c r="B82" s="6">
        <f>(B80)+(B81)</f>
        <v>184.99</v>
      </c>
    </row>
    <row r="83" spans="1:2" ht="15.75" customHeight="1" x14ac:dyDescent="0.2">
      <c r="A83" s="3" t="s">
        <v>111</v>
      </c>
      <c r="B83" s="6">
        <f>B82</f>
        <v>184.99</v>
      </c>
    </row>
    <row r="84" spans="1:2" ht="15.75" customHeight="1" x14ac:dyDescent="0.2">
      <c r="A84" s="3" t="s">
        <v>112</v>
      </c>
      <c r="B84" s="6">
        <f>(B78)-(B83)</f>
        <v>8403.2200000000012</v>
      </c>
    </row>
    <row r="85" spans="1:2" ht="15.75" customHeight="1" x14ac:dyDescent="0.2">
      <c r="A85" s="3" t="s">
        <v>113</v>
      </c>
      <c r="B85" s="6">
        <f>(B73)+(B84)</f>
        <v>-128586.81999999998</v>
      </c>
    </row>
    <row r="86" spans="1:2" ht="15.75" customHeight="1" x14ac:dyDescent="0.2">
      <c r="A86" s="3"/>
      <c r="B86" s="4"/>
    </row>
    <row r="87" spans="1:2" ht="15.75" customHeight="1" x14ac:dyDescent="0.2"/>
    <row r="88" spans="1:2" ht="15.75" customHeight="1" x14ac:dyDescent="0.2"/>
    <row r="89" spans="1:2" ht="15.75" customHeight="1" x14ac:dyDescent="0.2">
      <c r="A89" s="10" t="s">
        <v>127</v>
      </c>
      <c r="B89" s="8"/>
    </row>
    <row r="90" spans="1:2" ht="15.75" customHeight="1" x14ac:dyDescent="0.2"/>
    <row r="91" spans="1:2" ht="15.75" customHeight="1" x14ac:dyDescent="0.2"/>
    <row r="92" spans="1:2" ht="15.75" customHeight="1" x14ac:dyDescent="0.2"/>
    <row r="93" spans="1:2" ht="15.75" customHeight="1" x14ac:dyDescent="0.2"/>
    <row r="94" spans="1:2" ht="15.75" customHeight="1" x14ac:dyDescent="0.2"/>
    <row r="95" spans="1:2" ht="15.75" customHeight="1" x14ac:dyDescent="0.2"/>
    <row r="96" spans="1:2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">
    <mergeCell ref="A1:B1"/>
    <mergeCell ref="A2:B2"/>
    <mergeCell ref="A3:B3"/>
    <mergeCell ref="A89:B89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000"/>
  <sheetViews>
    <sheetView workbookViewId="0">
      <selection sqref="A1:D1"/>
    </sheetView>
  </sheetViews>
  <sheetFormatPr baseColWidth="10" defaultColWidth="14.5" defaultRowHeight="15" customHeight="1" x14ac:dyDescent="0.2"/>
  <cols>
    <col min="1" max="1" width="31.83203125" customWidth="1"/>
    <col min="2" max="4" width="12" customWidth="1"/>
    <col min="5" max="26" width="8.6640625" customWidth="1"/>
  </cols>
  <sheetData>
    <row r="1" spans="1:4" ht="18" x14ac:dyDescent="0.2">
      <c r="A1" s="7" t="s">
        <v>0</v>
      </c>
      <c r="B1" s="8"/>
      <c r="C1" s="8"/>
      <c r="D1" s="8"/>
    </row>
    <row r="2" spans="1:4" ht="18" x14ac:dyDescent="0.2">
      <c r="A2" s="7" t="s">
        <v>128</v>
      </c>
      <c r="B2" s="8"/>
      <c r="C2" s="8"/>
      <c r="D2" s="8"/>
    </row>
    <row r="3" spans="1:4" x14ac:dyDescent="0.2">
      <c r="A3" s="9" t="s">
        <v>114</v>
      </c>
      <c r="B3" s="8"/>
      <c r="C3" s="8"/>
      <c r="D3" s="8"/>
    </row>
    <row r="5" spans="1:4" x14ac:dyDescent="0.2">
      <c r="A5" s="1"/>
      <c r="B5" s="11" t="s">
        <v>3</v>
      </c>
      <c r="C5" s="12"/>
      <c r="D5" s="12"/>
    </row>
    <row r="6" spans="1:4" ht="27" x14ac:dyDescent="0.2">
      <c r="A6" s="1"/>
      <c r="B6" s="2" t="s">
        <v>148</v>
      </c>
      <c r="C6" s="2" t="s">
        <v>149</v>
      </c>
      <c r="D6" s="2" t="s">
        <v>42</v>
      </c>
    </row>
    <row r="7" spans="1:4" x14ac:dyDescent="0.2">
      <c r="A7" s="3" t="s">
        <v>46</v>
      </c>
      <c r="B7" s="4"/>
      <c r="C7" s="4"/>
      <c r="D7" s="4"/>
    </row>
    <row r="8" spans="1:4" x14ac:dyDescent="0.2">
      <c r="A8" s="3" t="s">
        <v>47</v>
      </c>
      <c r="B8" s="4"/>
      <c r="C8" s="4"/>
      <c r="D8" s="5">
        <f t="shared" ref="D8:D18" si="0">(B8)-(C8)</f>
        <v>0</v>
      </c>
    </row>
    <row r="9" spans="1:4" x14ac:dyDescent="0.2">
      <c r="A9" s="3" t="s">
        <v>48</v>
      </c>
      <c r="B9" s="5">
        <f>106136.49</f>
        <v>106136.49</v>
      </c>
      <c r="C9" s="5">
        <f>-70174</f>
        <v>-70174</v>
      </c>
      <c r="D9" s="5">
        <f t="shared" si="0"/>
        <v>176310.49</v>
      </c>
    </row>
    <row r="10" spans="1:4" x14ac:dyDescent="0.2">
      <c r="A10" s="3" t="s">
        <v>49</v>
      </c>
      <c r="B10" s="5">
        <f>2803.75</f>
        <v>2803.75</v>
      </c>
      <c r="C10" s="4"/>
      <c r="D10" s="5">
        <f t="shared" si="0"/>
        <v>2803.75</v>
      </c>
    </row>
    <row r="11" spans="1:4" x14ac:dyDescent="0.2">
      <c r="A11" s="3" t="s">
        <v>50</v>
      </c>
      <c r="B11" s="5">
        <f>28500</f>
        <v>28500</v>
      </c>
      <c r="C11" s="4"/>
      <c r="D11" s="5">
        <f t="shared" si="0"/>
        <v>28500</v>
      </c>
    </row>
    <row r="12" spans="1:4" x14ac:dyDescent="0.2">
      <c r="A12" s="3" t="s">
        <v>51</v>
      </c>
      <c r="B12" s="6">
        <f t="shared" ref="B12:C12" si="1">(((B8)+(B9))+(B10))+(B11)</f>
        <v>137440.24</v>
      </c>
      <c r="C12" s="6">
        <f t="shared" si="1"/>
        <v>-70174</v>
      </c>
      <c r="D12" s="6">
        <f t="shared" si="0"/>
        <v>207614.24</v>
      </c>
    </row>
    <row r="13" spans="1:4" x14ac:dyDescent="0.2">
      <c r="A13" s="3" t="s">
        <v>52</v>
      </c>
      <c r="B13" s="4"/>
      <c r="C13" s="4"/>
      <c r="D13" s="5">
        <f t="shared" si="0"/>
        <v>0</v>
      </c>
    </row>
    <row r="14" spans="1:4" x14ac:dyDescent="0.2">
      <c r="A14" s="3" t="s">
        <v>53</v>
      </c>
      <c r="B14" s="5">
        <f>41900</f>
        <v>41900</v>
      </c>
      <c r="C14" s="5">
        <f>19250</f>
        <v>19250</v>
      </c>
      <c r="D14" s="5">
        <f t="shared" si="0"/>
        <v>22650</v>
      </c>
    </row>
    <row r="15" spans="1:4" x14ac:dyDescent="0.2">
      <c r="A15" s="3" t="s">
        <v>54</v>
      </c>
      <c r="B15" s="5">
        <f>21892</f>
        <v>21892</v>
      </c>
      <c r="C15" s="5">
        <f>11331.94</f>
        <v>11331.94</v>
      </c>
      <c r="D15" s="5">
        <f t="shared" si="0"/>
        <v>10560.06</v>
      </c>
    </row>
    <row r="16" spans="1:4" x14ac:dyDescent="0.2">
      <c r="A16" s="3" t="s">
        <v>55</v>
      </c>
      <c r="B16" s="6">
        <f t="shared" ref="B16:C16" si="2">((B13)+(B14))+(B15)</f>
        <v>63792</v>
      </c>
      <c r="C16" s="6">
        <f t="shared" si="2"/>
        <v>30581.940000000002</v>
      </c>
      <c r="D16" s="6">
        <f t="shared" si="0"/>
        <v>33210.06</v>
      </c>
    </row>
    <row r="17" spans="1:4" x14ac:dyDescent="0.2">
      <c r="A17" s="3" t="s">
        <v>56</v>
      </c>
      <c r="B17" s="6">
        <f t="shared" ref="B17:C17" si="3">(B12)+(B16)</f>
        <v>201232.24</v>
      </c>
      <c r="C17" s="6">
        <f t="shared" si="3"/>
        <v>-39592.06</v>
      </c>
      <c r="D17" s="6">
        <f t="shared" si="0"/>
        <v>240824.3</v>
      </c>
    </row>
    <row r="18" spans="1:4" x14ac:dyDescent="0.2">
      <c r="A18" s="3" t="s">
        <v>57</v>
      </c>
      <c r="B18" s="6">
        <f t="shared" ref="B18:C18" si="4">(B17)-(0)</f>
        <v>201232.24</v>
      </c>
      <c r="C18" s="6">
        <f t="shared" si="4"/>
        <v>-39592.06</v>
      </c>
      <c r="D18" s="6">
        <f t="shared" si="0"/>
        <v>240824.3</v>
      </c>
    </row>
    <row r="19" spans="1:4" x14ac:dyDescent="0.2">
      <c r="A19" s="3" t="s">
        <v>58</v>
      </c>
      <c r="B19" s="4"/>
      <c r="C19" s="4"/>
      <c r="D19" s="4"/>
    </row>
    <row r="20" spans="1:4" x14ac:dyDescent="0.2">
      <c r="A20" s="3" t="s">
        <v>129</v>
      </c>
      <c r="B20" s="4"/>
      <c r="C20" s="4"/>
      <c r="D20" s="5">
        <f t="shared" ref="D20:D95" si="5">(B20)-(C20)</f>
        <v>0</v>
      </c>
    </row>
    <row r="21" spans="1:4" ht="15.75" customHeight="1" x14ac:dyDescent="0.2">
      <c r="A21" s="3" t="s">
        <v>130</v>
      </c>
      <c r="B21" s="4"/>
      <c r="C21" s="5">
        <f>74.11</f>
        <v>74.11</v>
      </c>
      <c r="D21" s="5">
        <f t="shared" si="5"/>
        <v>-74.11</v>
      </c>
    </row>
    <row r="22" spans="1:4" ht="15.75" customHeight="1" x14ac:dyDescent="0.2">
      <c r="A22" s="3" t="s">
        <v>131</v>
      </c>
      <c r="B22" s="6">
        <f t="shared" ref="B22:C22" si="6">(B20)+(B21)</f>
        <v>0</v>
      </c>
      <c r="C22" s="6">
        <f t="shared" si="6"/>
        <v>74.11</v>
      </c>
      <c r="D22" s="6">
        <f t="shared" si="5"/>
        <v>-74.11</v>
      </c>
    </row>
    <row r="23" spans="1:4" ht="15.75" customHeight="1" x14ac:dyDescent="0.2">
      <c r="A23" s="3" t="s">
        <v>59</v>
      </c>
      <c r="B23" s="4"/>
      <c r="C23" s="4"/>
      <c r="D23" s="5">
        <f t="shared" si="5"/>
        <v>0</v>
      </c>
    </row>
    <row r="24" spans="1:4" ht="15.75" customHeight="1" x14ac:dyDescent="0.2">
      <c r="A24" s="3" t="s">
        <v>132</v>
      </c>
      <c r="B24" s="4"/>
      <c r="C24" s="5">
        <f>1637.35</f>
        <v>1637.35</v>
      </c>
      <c r="D24" s="5">
        <f t="shared" si="5"/>
        <v>-1637.35</v>
      </c>
    </row>
    <row r="25" spans="1:4" ht="15.75" customHeight="1" x14ac:dyDescent="0.2">
      <c r="A25" s="3" t="s">
        <v>60</v>
      </c>
      <c r="B25" s="5">
        <f>1726.03</f>
        <v>1726.03</v>
      </c>
      <c r="C25" s="4"/>
      <c r="D25" s="5">
        <f t="shared" si="5"/>
        <v>1726.03</v>
      </c>
    </row>
    <row r="26" spans="1:4" ht="15.75" customHeight="1" x14ac:dyDescent="0.2">
      <c r="A26" s="3" t="s">
        <v>61</v>
      </c>
      <c r="B26" s="5">
        <f>47724.76</f>
        <v>47724.76</v>
      </c>
      <c r="C26" s="5">
        <f>57718.99</f>
        <v>57718.99</v>
      </c>
      <c r="D26" s="5">
        <f t="shared" si="5"/>
        <v>-9994.2299999999959</v>
      </c>
    </row>
    <row r="27" spans="1:4" ht="15.75" customHeight="1" x14ac:dyDescent="0.2">
      <c r="A27" s="3" t="s">
        <v>62</v>
      </c>
      <c r="B27" s="5">
        <f>8696.99</f>
        <v>8696.99</v>
      </c>
      <c r="C27" s="5">
        <f>61.31</f>
        <v>61.31</v>
      </c>
      <c r="D27" s="5">
        <f t="shared" si="5"/>
        <v>8635.68</v>
      </c>
    </row>
    <row r="28" spans="1:4" ht="15.75" customHeight="1" x14ac:dyDescent="0.2">
      <c r="A28" s="3" t="s">
        <v>133</v>
      </c>
      <c r="B28" s="4"/>
      <c r="C28" s="5">
        <f>10.91</f>
        <v>10.91</v>
      </c>
      <c r="D28" s="5">
        <f t="shared" si="5"/>
        <v>-10.91</v>
      </c>
    </row>
    <row r="29" spans="1:4" ht="15.75" customHeight="1" x14ac:dyDescent="0.2">
      <c r="A29" s="3" t="s">
        <v>115</v>
      </c>
      <c r="B29" s="5">
        <f>750</f>
        <v>750</v>
      </c>
      <c r="C29" s="4"/>
      <c r="D29" s="5">
        <f t="shared" si="5"/>
        <v>750</v>
      </c>
    </row>
    <row r="30" spans="1:4" ht="15.75" customHeight="1" x14ac:dyDescent="0.2">
      <c r="A30" s="3" t="s">
        <v>63</v>
      </c>
      <c r="B30" s="5">
        <f>3105</f>
        <v>3105</v>
      </c>
      <c r="C30" s="4"/>
      <c r="D30" s="5">
        <f t="shared" si="5"/>
        <v>3105</v>
      </c>
    </row>
    <row r="31" spans="1:4" ht="15.75" customHeight="1" x14ac:dyDescent="0.2">
      <c r="A31" s="3" t="s">
        <v>64</v>
      </c>
      <c r="B31" s="4"/>
      <c r="C31" s="5">
        <f>3.44</f>
        <v>3.44</v>
      </c>
      <c r="D31" s="5">
        <f t="shared" si="5"/>
        <v>-3.44</v>
      </c>
    </row>
    <row r="32" spans="1:4" ht="15.75" customHeight="1" x14ac:dyDescent="0.2">
      <c r="A32" s="3" t="s">
        <v>65</v>
      </c>
      <c r="B32" s="5">
        <f>1342.32</f>
        <v>1342.32</v>
      </c>
      <c r="C32" s="4"/>
      <c r="D32" s="5">
        <f t="shared" si="5"/>
        <v>1342.32</v>
      </c>
    </row>
    <row r="33" spans="1:4" ht="15.75" customHeight="1" x14ac:dyDescent="0.2">
      <c r="A33" s="3" t="s">
        <v>116</v>
      </c>
      <c r="B33" s="5">
        <f>378.71</f>
        <v>378.71</v>
      </c>
      <c r="C33" s="4"/>
      <c r="D33" s="5">
        <f t="shared" si="5"/>
        <v>378.71</v>
      </c>
    </row>
    <row r="34" spans="1:4" ht="15.75" customHeight="1" x14ac:dyDescent="0.2">
      <c r="A34" s="3" t="s">
        <v>66</v>
      </c>
      <c r="B34" s="6">
        <f t="shared" ref="B34:C34" si="7">((B31)+(B32))+(B33)</f>
        <v>1721.03</v>
      </c>
      <c r="C34" s="6">
        <f t="shared" si="7"/>
        <v>3.44</v>
      </c>
      <c r="D34" s="6">
        <f t="shared" si="5"/>
        <v>1717.59</v>
      </c>
    </row>
    <row r="35" spans="1:4" ht="15.75" customHeight="1" x14ac:dyDescent="0.2">
      <c r="A35" s="3" t="s">
        <v>67</v>
      </c>
      <c r="B35" s="5">
        <f>13375.48</f>
        <v>13375.48</v>
      </c>
      <c r="C35" s="4"/>
      <c r="D35" s="5">
        <f t="shared" si="5"/>
        <v>13375.48</v>
      </c>
    </row>
    <row r="36" spans="1:4" ht="15.75" customHeight="1" x14ac:dyDescent="0.2">
      <c r="A36" s="3" t="s">
        <v>150</v>
      </c>
      <c r="B36" s="4"/>
      <c r="C36" s="5">
        <f>10371.5</f>
        <v>10371.5</v>
      </c>
      <c r="D36" s="5">
        <f t="shared" si="5"/>
        <v>-10371.5</v>
      </c>
    </row>
    <row r="37" spans="1:4" ht="15.75" customHeight="1" x14ac:dyDescent="0.2">
      <c r="A37" s="3" t="s">
        <v>151</v>
      </c>
      <c r="B37" s="4"/>
      <c r="C37" s="5">
        <f>5426.83</f>
        <v>5426.83</v>
      </c>
      <c r="D37" s="5">
        <f t="shared" si="5"/>
        <v>-5426.83</v>
      </c>
    </row>
    <row r="38" spans="1:4" ht="15.75" customHeight="1" x14ac:dyDescent="0.2">
      <c r="A38" s="3" t="s">
        <v>68</v>
      </c>
      <c r="B38" s="5">
        <f>860.5</f>
        <v>860.5</v>
      </c>
      <c r="C38" s="5">
        <f>833</f>
        <v>833</v>
      </c>
      <c r="D38" s="5">
        <f t="shared" si="5"/>
        <v>27.5</v>
      </c>
    </row>
    <row r="39" spans="1:4" ht="15.75" customHeight="1" x14ac:dyDescent="0.2">
      <c r="A39" s="3" t="s">
        <v>134</v>
      </c>
      <c r="B39" s="4"/>
      <c r="C39" s="5">
        <f>318.44</f>
        <v>318.44</v>
      </c>
      <c r="D39" s="5">
        <f t="shared" si="5"/>
        <v>-318.44</v>
      </c>
    </row>
    <row r="40" spans="1:4" ht="15.75" customHeight="1" x14ac:dyDescent="0.2">
      <c r="A40" s="3" t="s">
        <v>69</v>
      </c>
      <c r="B40" s="6">
        <f t="shared" ref="B40:C40" si="8">(((((((((((((B23)+(B24))+(B25))+(B26))+(B27))+(B28))+(B29))+(B30))+(B34))+(B35))+(B36))+(B37))+(B38))+(B39)</f>
        <v>77959.789999999994</v>
      </c>
      <c r="C40" s="6">
        <f t="shared" si="8"/>
        <v>76381.77</v>
      </c>
      <c r="D40" s="6">
        <f t="shared" si="5"/>
        <v>1578.0199999999895</v>
      </c>
    </row>
    <row r="41" spans="1:4" ht="15.75" customHeight="1" x14ac:dyDescent="0.2">
      <c r="A41" s="3" t="s">
        <v>70</v>
      </c>
      <c r="B41" s="4"/>
      <c r="C41" s="4"/>
      <c r="D41" s="5">
        <f t="shared" si="5"/>
        <v>0</v>
      </c>
    </row>
    <row r="42" spans="1:4" ht="15.75" customHeight="1" x14ac:dyDescent="0.2">
      <c r="A42" s="3" t="s">
        <v>71</v>
      </c>
      <c r="B42" s="5">
        <f>402.63</f>
        <v>402.63</v>
      </c>
      <c r="C42" s="5">
        <f>564.44</f>
        <v>564.44000000000005</v>
      </c>
      <c r="D42" s="5">
        <f t="shared" si="5"/>
        <v>-161.81000000000006</v>
      </c>
    </row>
    <row r="43" spans="1:4" ht="15.75" customHeight="1" x14ac:dyDescent="0.2">
      <c r="A43" s="3" t="s">
        <v>72</v>
      </c>
      <c r="B43" s="5">
        <f>143.89</f>
        <v>143.88999999999999</v>
      </c>
      <c r="C43" s="5">
        <f>5.9</f>
        <v>5.9</v>
      </c>
      <c r="D43" s="5">
        <f t="shared" si="5"/>
        <v>137.98999999999998</v>
      </c>
    </row>
    <row r="44" spans="1:4" ht="15.75" customHeight="1" x14ac:dyDescent="0.2">
      <c r="A44" s="3" t="s">
        <v>73</v>
      </c>
      <c r="B44" s="5">
        <f>913.26</f>
        <v>913.26</v>
      </c>
      <c r="C44" s="5">
        <f>741.14</f>
        <v>741.14</v>
      </c>
      <c r="D44" s="5">
        <f t="shared" si="5"/>
        <v>172.12</v>
      </c>
    </row>
    <row r="45" spans="1:4" ht="15.75" customHeight="1" x14ac:dyDescent="0.2">
      <c r="A45" s="3" t="s">
        <v>74</v>
      </c>
      <c r="B45" s="6">
        <f t="shared" ref="B45:C45" si="9">(((B41)+(B42))+(B43))+(B44)</f>
        <v>1459.78</v>
      </c>
      <c r="C45" s="6">
        <f t="shared" si="9"/>
        <v>1311.48</v>
      </c>
      <c r="D45" s="6">
        <f t="shared" si="5"/>
        <v>148.29999999999995</v>
      </c>
    </row>
    <row r="46" spans="1:4" ht="15.75" customHeight="1" x14ac:dyDescent="0.2">
      <c r="A46" s="3" t="s">
        <v>75</v>
      </c>
      <c r="B46" s="4"/>
      <c r="C46" s="4"/>
      <c r="D46" s="5">
        <f t="shared" si="5"/>
        <v>0</v>
      </c>
    </row>
    <row r="47" spans="1:4" ht="15.75" customHeight="1" x14ac:dyDescent="0.2">
      <c r="A47" s="3" t="s">
        <v>76</v>
      </c>
      <c r="B47" s="5">
        <f>309.73</f>
        <v>309.73</v>
      </c>
      <c r="C47" s="5">
        <f>259.41</f>
        <v>259.41000000000003</v>
      </c>
      <c r="D47" s="5">
        <f t="shared" si="5"/>
        <v>50.319999999999993</v>
      </c>
    </row>
    <row r="48" spans="1:4" ht="15.75" customHeight="1" x14ac:dyDescent="0.2">
      <c r="A48" s="3" t="s">
        <v>77</v>
      </c>
      <c r="B48" s="4"/>
      <c r="C48" s="4"/>
      <c r="D48" s="5">
        <f t="shared" si="5"/>
        <v>0</v>
      </c>
    </row>
    <row r="49" spans="1:4" ht="15.75" customHeight="1" x14ac:dyDescent="0.2">
      <c r="A49" s="3" t="s">
        <v>135</v>
      </c>
      <c r="B49" s="4"/>
      <c r="C49" s="5">
        <f>4500</f>
        <v>4500</v>
      </c>
      <c r="D49" s="5">
        <f t="shared" si="5"/>
        <v>-4500</v>
      </c>
    </row>
    <row r="50" spans="1:4" ht="15.75" customHeight="1" x14ac:dyDescent="0.2">
      <c r="A50" s="3" t="s">
        <v>78</v>
      </c>
      <c r="B50" s="5">
        <f>9000</f>
        <v>9000</v>
      </c>
      <c r="C50" s="5">
        <f>18000</f>
        <v>18000</v>
      </c>
      <c r="D50" s="5">
        <f t="shared" si="5"/>
        <v>-9000</v>
      </c>
    </row>
    <row r="51" spans="1:4" ht="15.75" customHeight="1" x14ac:dyDescent="0.2">
      <c r="A51" s="3" t="s">
        <v>136</v>
      </c>
      <c r="B51" s="4"/>
      <c r="C51" s="5">
        <f>15000</f>
        <v>15000</v>
      </c>
      <c r="D51" s="5">
        <f t="shared" si="5"/>
        <v>-15000</v>
      </c>
    </row>
    <row r="52" spans="1:4" ht="15.75" customHeight="1" x14ac:dyDescent="0.2">
      <c r="A52" s="3" t="s">
        <v>137</v>
      </c>
      <c r="B52" s="4"/>
      <c r="C52" s="5">
        <f>2227.5</f>
        <v>2227.5</v>
      </c>
      <c r="D52" s="5">
        <f t="shared" si="5"/>
        <v>-2227.5</v>
      </c>
    </row>
    <row r="53" spans="1:4" ht="15.75" customHeight="1" x14ac:dyDescent="0.2">
      <c r="A53" s="3" t="s">
        <v>79</v>
      </c>
      <c r="B53" s="5">
        <f>56700</f>
        <v>56700</v>
      </c>
      <c r="C53" s="5">
        <f>63000</f>
        <v>63000</v>
      </c>
      <c r="D53" s="5">
        <f t="shared" si="5"/>
        <v>-6300</v>
      </c>
    </row>
    <row r="54" spans="1:4" ht="15.75" customHeight="1" x14ac:dyDescent="0.2">
      <c r="A54" s="3" t="s">
        <v>80</v>
      </c>
      <c r="B54" s="5">
        <f>14700</f>
        <v>14700</v>
      </c>
      <c r="C54" s="4"/>
      <c r="D54" s="5">
        <f t="shared" si="5"/>
        <v>14700</v>
      </c>
    </row>
    <row r="55" spans="1:4" ht="15.75" customHeight="1" x14ac:dyDescent="0.2">
      <c r="A55" s="3" t="s">
        <v>138</v>
      </c>
      <c r="B55" s="4"/>
      <c r="C55" s="5">
        <f>2128.5</f>
        <v>2128.5</v>
      </c>
      <c r="D55" s="5">
        <f t="shared" si="5"/>
        <v>-2128.5</v>
      </c>
    </row>
    <row r="56" spans="1:4" ht="15.75" customHeight="1" x14ac:dyDescent="0.2">
      <c r="A56" s="3" t="s">
        <v>139</v>
      </c>
      <c r="B56" s="4"/>
      <c r="C56" s="5">
        <f>11127.54</f>
        <v>11127.54</v>
      </c>
      <c r="D56" s="5">
        <f t="shared" si="5"/>
        <v>-11127.54</v>
      </c>
    </row>
    <row r="57" spans="1:4" ht="15.75" customHeight="1" x14ac:dyDescent="0.2">
      <c r="A57" s="3" t="s">
        <v>140</v>
      </c>
      <c r="B57" s="4"/>
      <c r="C57" s="5">
        <f>9000</f>
        <v>9000</v>
      </c>
      <c r="D57" s="5">
        <f t="shared" si="5"/>
        <v>-9000</v>
      </c>
    </row>
    <row r="58" spans="1:4" ht="15.75" customHeight="1" x14ac:dyDescent="0.2">
      <c r="A58" s="3" t="s">
        <v>141</v>
      </c>
      <c r="B58" s="4"/>
      <c r="C58" s="5">
        <f>874.5</f>
        <v>874.5</v>
      </c>
      <c r="D58" s="5">
        <f t="shared" si="5"/>
        <v>-874.5</v>
      </c>
    </row>
    <row r="59" spans="1:4" ht="15.75" customHeight="1" x14ac:dyDescent="0.2">
      <c r="A59" s="3" t="s">
        <v>81</v>
      </c>
      <c r="B59" s="5">
        <f>7800</f>
        <v>7800</v>
      </c>
      <c r="C59" s="4"/>
      <c r="D59" s="5">
        <f t="shared" si="5"/>
        <v>7800</v>
      </c>
    </row>
    <row r="60" spans="1:4" ht="15.75" customHeight="1" x14ac:dyDescent="0.2">
      <c r="A60" s="3" t="s">
        <v>82</v>
      </c>
      <c r="B60" s="6">
        <f t="shared" ref="B60:C60" si="10">(((((((((((B48)+(B49))+(B50))+(B51))+(B52))+(B53))+(B54))+(B55))+(B56))+(B57))+(B58))+(B59)</f>
        <v>88200</v>
      </c>
      <c r="C60" s="6">
        <f t="shared" si="10"/>
        <v>125858.04000000001</v>
      </c>
      <c r="D60" s="6">
        <f t="shared" si="5"/>
        <v>-37658.040000000008</v>
      </c>
    </row>
    <row r="61" spans="1:4" ht="15.75" customHeight="1" x14ac:dyDescent="0.2">
      <c r="A61" s="3" t="s">
        <v>142</v>
      </c>
      <c r="B61" s="4"/>
      <c r="C61" s="5">
        <f>10</f>
        <v>10</v>
      </c>
      <c r="D61" s="5">
        <f t="shared" si="5"/>
        <v>-10</v>
      </c>
    </row>
    <row r="62" spans="1:4" ht="15.75" customHeight="1" x14ac:dyDescent="0.2">
      <c r="A62" s="3" t="s">
        <v>143</v>
      </c>
      <c r="B62" s="4"/>
      <c r="C62" s="5">
        <f>14407.5</f>
        <v>14407.5</v>
      </c>
      <c r="D62" s="5">
        <f t="shared" si="5"/>
        <v>-14407.5</v>
      </c>
    </row>
    <row r="63" spans="1:4" ht="15.75" customHeight="1" x14ac:dyDescent="0.2">
      <c r="A63" s="3" t="s">
        <v>83</v>
      </c>
      <c r="B63" s="5">
        <f>3605.54</f>
        <v>3605.54</v>
      </c>
      <c r="C63" s="5">
        <f>3619.18</f>
        <v>3619.18</v>
      </c>
      <c r="D63" s="5">
        <f t="shared" si="5"/>
        <v>-13.639999999999873</v>
      </c>
    </row>
    <row r="64" spans="1:4" ht="15.75" customHeight="1" x14ac:dyDescent="0.2">
      <c r="A64" s="3" t="s">
        <v>84</v>
      </c>
      <c r="B64" s="5">
        <f>828.36</f>
        <v>828.36</v>
      </c>
      <c r="C64" s="5">
        <f>2864.82</f>
        <v>2864.82</v>
      </c>
      <c r="D64" s="5">
        <f t="shared" si="5"/>
        <v>-2036.46</v>
      </c>
    </row>
    <row r="65" spans="1:4" ht="15.75" customHeight="1" x14ac:dyDescent="0.2">
      <c r="A65" s="3" t="s">
        <v>85</v>
      </c>
      <c r="B65" s="5">
        <f>138.15</f>
        <v>138.15</v>
      </c>
      <c r="C65" s="4"/>
      <c r="D65" s="5">
        <f t="shared" si="5"/>
        <v>138.15</v>
      </c>
    </row>
    <row r="66" spans="1:4" ht="15.75" customHeight="1" x14ac:dyDescent="0.2">
      <c r="A66" s="3" t="s">
        <v>86</v>
      </c>
      <c r="B66" s="4"/>
      <c r="C66" s="4"/>
      <c r="D66" s="5">
        <f t="shared" si="5"/>
        <v>0</v>
      </c>
    </row>
    <row r="67" spans="1:4" ht="15.75" customHeight="1" x14ac:dyDescent="0.2">
      <c r="A67" s="3" t="s">
        <v>144</v>
      </c>
      <c r="B67" s="4"/>
      <c r="C67" s="5">
        <f>2600</f>
        <v>2600</v>
      </c>
      <c r="D67" s="5">
        <f t="shared" si="5"/>
        <v>-2600</v>
      </c>
    </row>
    <row r="68" spans="1:4" ht="15.75" customHeight="1" x14ac:dyDescent="0.2">
      <c r="A68" s="3" t="s">
        <v>145</v>
      </c>
      <c r="B68" s="4"/>
      <c r="C68" s="5">
        <f>4800</f>
        <v>4800</v>
      </c>
      <c r="D68" s="5">
        <f t="shared" si="5"/>
        <v>-4800</v>
      </c>
    </row>
    <row r="69" spans="1:4" ht="15.75" customHeight="1" x14ac:dyDescent="0.2">
      <c r="A69" s="3" t="s">
        <v>87</v>
      </c>
      <c r="B69" s="5">
        <f>410</f>
        <v>410</v>
      </c>
      <c r="C69" s="5">
        <f>3761</f>
        <v>3761</v>
      </c>
      <c r="D69" s="5">
        <f t="shared" si="5"/>
        <v>-3351</v>
      </c>
    </row>
    <row r="70" spans="1:4" ht="15.75" customHeight="1" x14ac:dyDescent="0.2">
      <c r="A70" s="3" t="s">
        <v>88</v>
      </c>
      <c r="B70" s="6">
        <f t="shared" ref="B70:C70" si="11">(((B66)+(B67))+(B68))+(B69)</f>
        <v>410</v>
      </c>
      <c r="C70" s="6">
        <f t="shared" si="11"/>
        <v>11161</v>
      </c>
      <c r="D70" s="6">
        <f t="shared" si="5"/>
        <v>-10751</v>
      </c>
    </row>
    <row r="71" spans="1:4" ht="15.75" customHeight="1" x14ac:dyDescent="0.2">
      <c r="A71" s="3" t="s">
        <v>89</v>
      </c>
      <c r="B71" s="5">
        <f>7781.51</f>
        <v>7781.51</v>
      </c>
      <c r="C71" s="5">
        <f>90</f>
        <v>90</v>
      </c>
      <c r="D71" s="5">
        <f t="shared" si="5"/>
        <v>7691.51</v>
      </c>
    </row>
    <row r="72" spans="1:4" ht="15.75" customHeight="1" x14ac:dyDescent="0.2">
      <c r="A72" s="3" t="s">
        <v>117</v>
      </c>
      <c r="B72" s="4"/>
      <c r="C72" s="5">
        <f>199.2</f>
        <v>199.2</v>
      </c>
      <c r="D72" s="5">
        <f t="shared" si="5"/>
        <v>-199.2</v>
      </c>
    </row>
    <row r="73" spans="1:4" ht="15.75" customHeight="1" x14ac:dyDescent="0.2">
      <c r="A73" s="3" t="s">
        <v>118</v>
      </c>
      <c r="B73" s="5">
        <f>101.38</f>
        <v>101.38</v>
      </c>
      <c r="C73" s="4"/>
      <c r="D73" s="5">
        <f t="shared" si="5"/>
        <v>101.38</v>
      </c>
    </row>
    <row r="74" spans="1:4" ht="15.75" customHeight="1" x14ac:dyDescent="0.2">
      <c r="A74" s="3" t="s">
        <v>119</v>
      </c>
      <c r="B74" s="5">
        <f>199.2</f>
        <v>199.2</v>
      </c>
      <c r="C74" s="5">
        <f>9600</f>
        <v>9600</v>
      </c>
      <c r="D74" s="5">
        <f t="shared" si="5"/>
        <v>-9400.7999999999993</v>
      </c>
    </row>
    <row r="75" spans="1:4" ht="15.75" customHeight="1" x14ac:dyDescent="0.2">
      <c r="A75" s="3" t="s">
        <v>146</v>
      </c>
      <c r="B75" s="5">
        <f>0</f>
        <v>0</v>
      </c>
      <c r="C75" s="5">
        <f>20350</f>
        <v>20350</v>
      </c>
      <c r="D75" s="5">
        <f t="shared" si="5"/>
        <v>-20350</v>
      </c>
    </row>
    <row r="76" spans="1:4" ht="15.75" customHeight="1" x14ac:dyDescent="0.2">
      <c r="A76" s="3" t="s">
        <v>120</v>
      </c>
      <c r="B76" s="6">
        <f t="shared" ref="B76:C76" si="12">(((B72)+(B73))+(B74))+(B75)</f>
        <v>300.58</v>
      </c>
      <c r="C76" s="6">
        <f t="shared" si="12"/>
        <v>30149.200000000001</v>
      </c>
      <c r="D76" s="6">
        <f t="shared" si="5"/>
        <v>-29848.62</v>
      </c>
    </row>
    <row r="77" spans="1:4" ht="15.75" customHeight="1" x14ac:dyDescent="0.2">
      <c r="A77" s="3" t="s">
        <v>90</v>
      </c>
      <c r="B77" s="6">
        <f t="shared" ref="B77:C77" si="13">((((((((((B46)+(B47))+(B60))+(B61))+(B62))+(B63))+(B64))+(B65))+(B70))+(B71))+(B76)</f>
        <v>101573.86999999998</v>
      </c>
      <c r="C77" s="6">
        <f t="shared" si="13"/>
        <v>188419.15000000002</v>
      </c>
      <c r="D77" s="6">
        <f t="shared" si="5"/>
        <v>-86845.280000000042</v>
      </c>
    </row>
    <row r="78" spans="1:4" ht="15.75" customHeight="1" x14ac:dyDescent="0.2">
      <c r="A78" s="3" t="s">
        <v>91</v>
      </c>
      <c r="B78" s="4"/>
      <c r="C78" s="4"/>
      <c r="D78" s="5">
        <f t="shared" si="5"/>
        <v>0</v>
      </c>
    </row>
    <row r="79" spans="1:4" ht="15.75" customHeight="1" x14ac:dyDescent="0.2">
      <c r="A79" s="3" t="s">
        <v>92</v>
      </c>
      <c r="B79" s="5">
        <f>35888.94</f>
        <v>35888.94</v>
      </c>
      <c r="C79" s="5">
        <f>11896.92</f>
        <v>11896.92</v>
      </c>
      <c r="D79" s="5">
        <f t="shared" si="5"/>
        <v>23992.020000000004</v>
      </c>
    </row>
    <row r="80" spans="1:4" ht="15.75" customHeight="1" x14ac:dyDescent="0.2">
      <c r="A80" s="3" t="s">
        <v>93</v>
      </c>
      <c r="B80" s="5">
        <f>598.5</f>
        <v>598.5</v>
      </c>
      <c r="C80" s="5">
        <f>481.2</f>
        <v>481.2</v>
      </c>
      <c r="D80" s="5">
        <f t="shared" si="5"/>
        <v>117.30000000000001</v>
      </c>
    </row>
    <row r="81" spans="1:4" ht="15.75" customHeight="1" x14ac:dyDescent="0.2">
      <c r="A81" s="3" t="s">
        <v>147</v>
      </c>
      <c r="B81" s="4"/>
      <c r="C81" s="5">
        <f>1100.75</f>
        <v>1100.75</v>
      </c>
      <c r="D81" s="5">
        <f t="shared" si="5"/>
        <v>-1100.75</v>
      </c>
    </row>
    <row r="82" spans="1:4" ht="15.75" customHeight="1" x14ac:dyDescent="0.2">
      <c r="A82" s="3" t="s">
        <v>94</v>
      </c>
      <c r="B82" s="5">
        <f>107666.44</f>
        <v>107666.44</v>
      </c>
      <c r="C82" s="5">
        <f>85593.12</f>
        <v>85593.12</v>
      </c>
      <c r="D82" s="5">
        <f t="shared" si="5"/>
        <v>22073.320000000007</v>
      </c>
    </row>
    <row r="83" spans="1:4" ht="15.75" customHeight="1" x14ac:dyDescent="0.2">
      <c r="A83" s="3" t="s">
        <v>95</v>
      </c>
      <c r="B83" s="5">
        <f>8094.4</f>
        <v>8094.4</v>
      </c>
      <c r="C83" s="5">
        <f>6338.85</f>
        <v>6338.85</v>
      </c>
      <c r="D83" s="5">
        <f t="shared" si="5"/>
        <v>1755.5499999999993</v>
      </c>
    </row>
    <row r="84" spans="1:4" ht="15.75" customHeight="1" x14ac:dyDescent="0.2">
      <c r="A84" s="3" t="s">
        <v>96</v>
      </c>
      <c r="B84" s="5">
        <f>302.12</f>
        <v>302.12</v>
      </c>
      <c r="C84" s="5">
        <f>159.79</f>
        <v>159.79</v>
      </c>
      <c r="D84" s="5">
        <f t="shared" si="5"/>
        <v>142.33000000000001</v>
      </c>
    </row>
    <row r="85" spans="1:4" ht="15.75" customHeight="1" x14ac:dyDescent="0.2">
      <c r="A85" s="3" t="s">
        <v>97</v>
      </c>
      <c r="B85" s="6">
        <f t="shared" ref="B85:C85" si="14">((((((B78)+(B79))+(B80))+(B81))+(B82))+(B83))+(B84)</f>
        <v>152550.39999999999</v>
      </c>
      <c r="C85" s="6">
        <f t="shared" si="14"/>
        <v>105570.62999999999</v>
      </c>
      <c r="D85" s="6">
        <f t="shared" si="5"/>
        <v>46979.770000000004</v>
      </c>
    </row>
    <row r="86" spans="1:4" ht="15.75" customHeight="1" x14ac:dyDescent="0.2">
      <c r="A86" s="3" t="s">
        <v>98</v>
      </c>
      <c r="B86" s="4"/>
      <c r="C86" s="4"/>
      <c r="D86" s="5">
        <f t="shared" si="5"/>
        <v>0</v>
      </c>
    </row>
    <row r="87" spans="1:4" ht="15.75" customHeight="1" x14ac:dyDescent="0.2">
      <c r="A87" s="3" t="s">
        <v>99</v>
      </c>
      <c r="B87" s="5">
        <f>-3995.25</f>
        <v>-3995.25</v>
      </c>
      <c r="C87" s="5">
        <f>-4563.94</f>
        <v>-4563.9399999999996</v>
      </c>
      <c r="D87" s="5">
        <f t="shared" si="5"/>
        <v>568.6899999999996</v>
      </c>
    </row>
    <row r="88" spans="1:4" ht="15.75" customHeight="1" x14ac:dyDescent="0.2">
      <c r="A88" s="3" t="s">
        <v>121</v>
      </c>
      <c r="B88" s="5">
        <f>500</f>
        <v>500</v>
      </c>
      <c r="C88" s="5">
        <f>1100</f>
        <v>1100</v>
      </c>
      <c r="D88" s="5">
        <f t="shared" si="5"/>
        <v>-600</v>
      </c>
    </row>
    <row r="89" spans="1:4" ht="15.75" customHeight="1" x14ac:dyDescent="0.2">
      <c r="A89" s="3" t="s">
        <v>122</v>
      </c>
      <c r="B89" s="5">
        <f>270</f>
        <v>270</v>
      </c>
      <c r="C89" s="5">
        <f>200</f>
        <v>200</v>
      </c>
      <c r="D89" s="5">
        <f t="shared" si="5"/>
        <v>70</v>
      </c>
    </row>
    <row r="90" spans="1:4" ht="15.75" customHeight="1" x14ac:dyDescent="0.2">
      <c r="A90" s="3" t="s">
        <v>123</v>
      </c>
      <c r="B90" s="5">
        <f>5653.69</f>
        <v>5653.69</v>
      </c>
      <c r="C90" s="5">
        <f>4950</f>
        <v>4950</v>
      </c>
      <c r="D90" s="5">
        <f t="shared" si="5"/>
        <v>703.6899999999996</v>
      </c>
    </row>
    <row r="91" spans="1:4" ht="15.75" customHeight="1" x14ac:dyDescent="0.2">
      <c r="A91" s="3" t="s">
        <v>124</v>
      </c>
      <c r="B91" s="5">
        <f>1500</f>
        <v>1500</v>
      </c>
      <c r="C91" s="5">
        <f>750</f>
        <v>750</v>
      </c>
      <c r="D91" s="5">
        <f t="shared" si="5"/>
        <v>750</v>
      </c>
    </row>
    <row r="92" spans="1:4" ht="15.75" customHeight="1" x14ac:dyDescent="0.2">
      <c r="A92" s="3" t="s">
        <v>125</v>
      </c>
      <c r="B92" s="5">
        <f>750</f>
        <v>750</v>
      </c>
      <c r="C92" s="5">
        <f>644</f>
        <v>644</v>
      </c>
      <c r="D92" s="5">
        <f t="shared" si="5"/>
        <v>106</v>
      </c>
    </row>
    <row r="93" spans="1:4" ht="15.75" customHeight="1" x14ac:dyDescent="0.2">
      <c r="A93" s="3" t="s">
        <v>100</v>
      </c>
      <c r="B93" s="6">
        <f t="shared" ref="B93:C93" si="15">((((((B86)+(B87))+(B88))+(B89))+(B90))+(B91))+(B92)</f>
        <v>4678.4399999999996</v>
      </c>
      <c r="C93" s="6">
        <f t="shared" si="15"/>
        <v>3080.0600000000004</v>
      </c>
      <c r="D93" s="6">
        <f t="shared" si="5"/>
        <v>1598.3799999999992</v>
      </c>
    </row>
    <row r="94" spans="1:4" ht="15.75" customHeight="1" x14ac:dyDescent="0.2">
      <c r="A94" s="3" t="s">
        <v>101</v>
      </c>
      <c r="B94" s="6">
        <f t="shared" ref="B94:C94" si="16">(((((B22)+(B40))+(B45))+(B77))+(B85))+(B93)</f>
        <v>338222.27999999997</v>
      </c>
      <c r="C94" s="6">
        <f t="shared" si="16"/>
        <v>374837.2</v>
      </c>
      <c r="D94" s="6">
        <f t="shared" si="5"/>
        <v>-36614.920000000042</v>
      </c>
    </row>
    <row r="95" spans="1:4" ht="15.75" customHeight="1" x14ac:dyDescent="0.2">
      <c r="A95" s="3" t="s">
        <v>102</v>
      </c>
      <c r="B95" s="6">
        <f t="shared" ref="B95:C95" si="17">(B18)-(B94)</f>
        <v>-136990.03999999998</v>
      </c>
      <c r="C95" s="6">
        <f t="shared" si="17"/>
        <v>-414429.26</v>
      </c>
      <c r="D95" s="6">
        <f t="shared" si="5"/>
        <v>277439.22000000003</v>
      </c>
    </row>
    <row r="96" spans="1:4" ht="15.75" customHeight="1" x14ac:dyDescent="0.2">
      <c r="A96" s="3" t="s">
        <v>103</v>
      </c>
      <c r="B96" s="4"/>
      <c r="C96" s="4"/>
      <c r="D96" s="4"/>
    </row>
    <row r="97" spans="1:4" ht="15.75" customHeight="1" x14ac:dyDescent="0.2">
      <c r="A97" s="3" t="s">
        <v>104</v>
      </c>
      <c r="B97" s="5">
        <f>30.24</f>
        <v>30.24</v>
      </c>
      <c r="C97" s="5">
        <f>50.27</f>
        <v>50.27</v>
      </c>
      <c r="D97" s="5">
        <f t="shared" ref="D97:D100" si="18">(B97)-(C97)</f>
        <v>-20.030000000000005</v>
      </c>
    </row>
    <row r="98" spans="1:4" ht="15.75" customHeight="1" x14ac:dyDescent="0.2">
      <c r="A98" s="3" t="s">
        <v>105</v>
      </c>
      <c r="B98" s="5">
        <f>866.2</f>
        <v>866.2</v>
      </c>
      <c r="C98" s="4"/>
      <c r="D98" s="5">
        <f t="shared" si="18"/>
        <v>866.2</v>
      </c>
    </row>
    <row r="99" spans="1:4" ht="15.75" customHeight="1" x14ac:dyDescent="0.2">
      <c r="A99" s="3" t="s">
        <v>126</v>
      </c>
      <c r="B99" s="5">
        <f>7691.77</f>
        <v>7691.77</v>
      </c>
      <c r="C99" s="4"/>
      <c r="D99" s="5">
        <f t="shared" si="18"/>
        <v>7691.77</v>
      </c>
    </row>
    <row r="100" spans="1:4" ht="15.75" customHeight="1" x14ac:dyDescent="0.2">
      <c r="A100" s="3" t="s">
        <v>106</v>
      </c>
      <c r="B100" s="6">
        <f t="shared" ref="B100:C100" si="19">((B97)+(B98))+(B99)</f>
        <v>8588.2100000000009</v>
      </c>
      <c r="C100" s="6">
        <f t="shared" si="19"/>
        <v>50.27</v>
      </c>
      <c r="D100" s="6">
        <f t="shared" si="18"/>
        <v>8537.94</v>
      </c>
    </row>
    <row r="101" spans="1:4" ht="15.75" customHeight="1" x14ac:dyDescent="0.2">
      <c r="A101" s="3" t="s">
        <v>107</v>
      </c>
      <c r="B101" s="4"/>
      <c r="C101" s="4"/>
      <c r="D101" s="4"/>
    </row>
    <row r="102" spans="1:4" ht="15.75" customHeight="1" x14ac:dyDescent="0.2">
      <c r="A102" s="3" t="s">
        <v>152</v>
      </c>
      <c r="B102" s="4"/>
      <c r="C102" s="5">
        <f>-31060</f>
        <v>-31060</v>
      </c>
      <c r="D102" s="5">
        <f t="shared" ref="D102:D109" si="20">(B102)-(C102)</f>
        <v>31060</v>
      </c>
    </row>
    <row r="103" spans="1:4" ht="15.75" customHeight="1" x14ac:dyDescent="0.2">
      <c r="A103" s="3" t="s">
        <v>108</v>
      </c>
      <c r="B103" s="4"/>
      <c r="C103" s="4"/>
      <c r="D103" s="5">
        <f t="shared" si="20"/>
        <v>0</v>
      </c>
    </row>
    <row r="104" spans="1:4" ht="15.75" customHeight="1" x14ac:dyDescent="0.2">
      <c r="A104" s="3" t="s">
        <v>153</v>
      </c>
      <c r="B104" s="4"/>
      <c r="C104" s="5">
        <f>103.38</f>
        <v>103.38</v>
      </c>
      <c r="D104" s="5">
        <f t="shared" si="20"/>
        <v>-103.38</v>
      </c>
    </row>
    <row r="105" spans="1:4" ht="15.75" customHeight="1" x14ac:dyDescent="0.2">
      <c r="A105" s="3" t="s">
        <v>109</v>
      </c>
      <c r="B105" s="5">
        <f>184.99</f>
        <v>184.99</v>
      </c>
      <c r="C105" s="5">
        <f>169.83</f>
        <v>169.83</v>
      </c>
      <c r="D105" s="5">
        <f t="shared" si="20"/>
        <v>15.159999999999997</v>
      </c>
    </row>
    <row r="106" spans="1:4" ht="15.75" customHeight="1" x14ac:dyDescent="0.2">
      <c r="A106" s="3" t="s">
        <v>110</v>
      </c>
      <c r="B106" s="6">
        <f t="shared" ref="B106:C106" si="21">((B103)+(B104))+(B105)</f>
        <v>184.99</v>
      </c>
      <c r="C106" s="6">
        <f t="shared" si="21"/>
        <v>273.21000000000004</v>
      </c>
      <c r="D106" s="6">
        <f t="shared" si="20"/>
        <v>-88.220000000000027</v>
      </c>
    </row>
    <row r="107" spans="1:4" ht="15.75" customHeight="1" x14ac:dyDescent="0.2">
      <c r="A107" s="3" t="s">
        <v>111</v>
      </c>
      <c r="B107" s="6">
        <f t="shared" ref="B107:C107" si="22">(B102)+(B106)</f>
        <v>184.99</v>
      </c>
      <c r="C107" s="6">
        <f t="shared" si="22"/>
        <v>-30786.79</v>
      </c>
      <c r="D107" s="6">
        <f t="shared" si="20"/>
        <v>30971.780000000002</v>
      </c>
    </row>
    <row r="108" spans="1:4" ht="15.75" customHeight="1" x14ac:dyDescent="0.2">
      <c r="A108" s="3" t="s">
        <v>112</v>
      </c>
      <c r="B108" s="6">
        <f t="shared" ref="B108:C108" si="23">(B100)-(B107)</f>
        <v>8403.2200000000012</v>
      </c>
      <c r="C108" s="6">
        <f t="shared" si="23"/>
        <v>30837.06</v>
      </c>
      <c r="D108" s="6">
        <f t="shared" si="20"/>
        <v>-22433.84</v>
      </c>
    </row>
    <row r="109" spans="1:4" ht="15.75" customHeight="1" x14ac:dyDescent="0.2">
      <c r="A109" s="3" t="s">
        <v>113</v>
      </c>
      <c r="B109" s="6">
        <f t="shared" ref="B109:C109" si="24">(B95)+(B108)</f>
        <v>-128586.81999999998</v>
      </c>
      <c r="C109" s="6">
        <f t="shared" si="24"/>
        <v>-383592.2</v>
      </c>
      <c r="D109" s="6">
        <f t="shared" si="20"/>
        <v>255005.38000000003</v>
      </c>
    </row>
    <row r="110" spans="1:4" ht="15.75" customHeight="1" x14ac:dyDescent="0.2">
      <c r="A110" s="3"/>
      <c r="B110" s="4"/>
      <c r="C110" s="4"/>
      <c r="D110" s="4"/>
    </row>
    <row r="111" spans="1:4" ht="15.75" customHeight="1" x14ac:dyDescent="0.2"/>
    <row r="112" spans="1:4" ht="15.75" customHeight="1" x14ac:dyDescent="0.2"/>
    <row r="113" spans="1:4" ht="15.75" customHeight="1" x14ac:dyDescent="0.2">
      <c r="A113" s="10" t="s">
        <v>154</v>
      </c>
      <c r="B113" s="8"/>
      <c r="C113" s="8"/>
      <c r="D113" s="8"/>
    </row>
    <row r="114" spans="1:4" ht="15.75" customHeight="1" x14ac:dyDescent="0.2"/>
    <row r="115" spans="1:4" ht="15.75" customHeight="1" x14ac:dyDescent="0.2"/>
    <row r="116" spans="1:4" ht="15.75" customHeight="1" x14ac:dyDescent="0.2"/>
    <row r="117" spans="1:4" ht="15.75" customHeight="1" x14ac:dyDescent="0.2"/>
    <row r="118" spans="1:4" ht="15.75" customHeight="1" x14ac:dyDescent="0.2"/>
    <row r="119" spans="1:4" ht="15.75" customHeight="1" x14ac:dyDescent="0.2"/>
    <row r="120" spans="1:4" ht="15.75" customHeight="1" x14ac:dyDescent="0.2"/>
    <row r="121" spans="1:4" ht="15.75" customHeight="1" x14ac:dyDescent="0.2"/>
    <row r="122" spans="1:4" ht="15.75" customHeight="1" x14ac:dyDescent="0.2"/>
    <row r="123" spans="1:4" ht="15.75" customHeight="1" x14ac:dyDescent="0.2"/>
    <row r="124" spans="1:4" ht="15.75" customHeight="1" x14ac:dyDescent="0.2"/>
    <row r="125" spans="1:4" ht="15.75" customHeight="1" x14ac:dyDescent="0.2"/>
    <row r="126" spans="1:4" ht="15.75" customHeight="1" x14ac:dyDescent="0.2"/>
    <row r="127" spans="1:4" ht="15.75" customHeight="1" x14ac:dyDescent="0.2"/>
    <row r="128" spans="1:4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5">
    <mergeCell ref="A1:D1"/>
    <mergeCell ref="A2:D2"/>
    <mergeCell ref="A3:D3"/>
    <mergeCell ref="B5:D5"/>
    <mergeCell ref="A113:D113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000"/>
  <sheetViews>
    <sheetView tabSelected="1" topLeftCell="A2" workbookViewId="0">
      <selection sqref="A1:B1"/>
    </sheetView>
  </sheetViews>
  <sheetFormatPr baseColWidth="10" defaultColWidth="14.5" defaultRowHeight="15" customHeight="1" x14ac:dyDescent="0.2"/>
  <cols>
    <col min="1" max="1" width="69.5" customWidth="1"/>
    <col min="2" max="2" width="20.5" customWidth="1"/>
    <col min="3" max="26" width="8.6640625" customWidth="1"/>
  </cols>
  <sheetData>
    <row r="1" spans="1:2" ht="18" x14ac:dyDescent="0.2">
      <c r="A1" s="7" t="s">
        <v>0</v>
      </c>
      <c r="B1" s="8"/>
    </row>
    <row r="2" spans="1:2" ht="18" x14ac:dyDescent="0.2">
      <c r="A2" s="7" t="s">
        <v>155</v>
      </c>
      <c r="B2" s="8"/>
    </row>
    <row r="3" spans="1:2" x14ac:dyDescent="0.2">
      <c r="A3" s="9" t="s">
        <v>114</v>
      </c>
      <c r="B3" s="8"/>
    </row>
    <row r="5" spans="1:2" x14ac:dyDescent="0.2">
      <c r="A5" s="1"/>
      <c r="B5" s="2" t="s">
        <v>3</v>
      </c>
    </row>
    <row r="6" spans="1:2" x14ac:dyDescent="0.2">
      <c r="A6" s="3" t="s">
        <v>156</v>
      </c>
      <c r="B6" s="4"/>
    </row>
    <row r="7" spans="1:2" x14ac:dyDescent="0.2">
      <c r="A7" s="3" t="s">
        <v>157</v>
      </c>
      <c r="B7" s="5">
        <f>-74745.82</f>
        <v>-74745.820000000007</v>
      </c>
    </row>
    <row r="8" spans="1:2" x14ac:dyDescent="0.2">
      <c r="A8" s="3" t="s">
        <v>158</v>
      </c>
      <c r="B8" s="4"/>
    </row>
    <row r="9" spans="1:2" x14ac:dyDescent="0.2">
      <c r="A9" s="3" t="s">
        <v>159</v>
      </c>
      <c r="B9" s="5">
        <f>-54800</f>
        <v>-54800</v>
      </c>
    </row>
    <row r="10" spans="1:2" x14ac:dyDescent="0.2">
      <c r="A10" s="3" t="s">
        <v>160</v>
      </c>
      <c r="B10" s="5">
        <f>-1941</f>
        <v>-1941</v>
      </c>
    </row>
    <row r="11" spans="1:2" x14ac:dyDescent="0.2">
      <c r="A11" s="3" t="s">
        <v>161</v>
      </c>
      <c r="B11" s="5">
        <f>-3.07</f>
        <v>-3.07</v>
      </c>
    </row>
    <row r="12" spans="1:2" x14ac:dyDescent="0.2">
      <c r="A12" s="3" t="s">
        <v>162</v>
      </c>
      <c r="B12" s="5">
        <f>466.8</f>
        <v>466.8</v>
      </c>
    </row>
    <row r="13" spans="1:2" x14ac:dyDescent="0.2">
      <c r="A13" s="3" t="s">
        <v>163</v>
      </c>
      <c r="B13" s="5">
        <f>-8745</f>
        <v>-8745</v>
      </c>
    </row>
    <row r="14" spans="1:2" x14ac:dyDescent="0.2">
      <c r="A14" s="3" t="s">
        <v>164</v>
      </c>
      <c r="B14" s="6">
        <f>(((((B8)+(B9))+(B10))+(B11))+(B12))+(B13)</f>
        <v>-65022.27</v>
      </c>
    </row>
    <row r="15" spans="1:2" x14ac:dyDescent="0.2">
      <c r="A15" s="3" t="s">
        <v>165</v>
      </c>
      <c r="B15" s="6">
        <f>(B7)+(B14)</f>
        <v>-139768.09</v>
      </c>
    </row>
    <row r="16" spans="1:2" x14ac:dyDescent="0.2">
      <c r="A16" s="3" t="s">
        <v>166</v>
      </c>
      <c r="B16" s="6">
        <f>B15</f>
        <v>-139768.09</v>
      </c>
    </row>
    <row r="17" spans="1:2" x14ac:dyDescent="0.2">
      <c r="A17" s="3" t="s">
        <v>167</v>
      </c>
      <c r="B17" s="5">
        <f>2264467.1</f>
        <v>2264467.1</v>
      </c>
    </row>
    <row r="18" spans="1:2" x14ac:dyDescent="0.2">
      <c r="A18" s="3" t="s">
        <v>168</v>
      </c>
      <c r="B18" s="6">
        <f>(B16)+(B17)</f>
        <v>2124699.0100000002</v>
      </c>
    </row>
    <row r="19" spans="1:2" x14ac:dyDescent="0.2">
      <c r="A19" s="3"/>
      <c r="B19" s="4"/>
    </row>
    <row r="21" spans="1:2" ht="15.75" customHeight="1" x14ac:dyDescent="0.2"/>
    <row r="22" spans="1:2" ht="15.75" customHeight="1" x14ac:dyDescent="0.2">
      <c r="A22" s="10" t="s">
        <v>177</v>
      </c>
      <c r="B22" s="8"/>
    </row>
    <row r="23" spans="1:2" ht="15.75" customHeight="1" x14ac:dyDescent="0.2"/>
    <row r="24" spans="1:2" ht="15.75" customHeight="1" x14ac:dyDescent="0.2"/>
    <row r="25" spans="1:2" ht="15.75" customHeight="1" x14ac:dyDescent="0.2"/>
    <row r="26" spans="1:2" ht="15.75" customHeight="1" x14ac:dyDescent="0.2"/>
    <row r="27" spans="1:2" ht="15.75" customHeight="1" x14ac:dyDescent="0.2"/>
    <row r="28" spans="1:2" ht="15.75" customHeight="1" x14ac:dyDescent="0.2"/>
    <row r="29" spans="1:2" ht="15.75" customHeight="1" x14ac:dyDescent="0.2"/>
    <row r="30" spans="1:2" ht="15.75" customHeight="1" x14ac:dyDescent="0.2"/>
    <row r="31" spans="1:2" ht="15.75" customHeight="1" x14ac:dyDescent="0.2"/>
    <row r="32" spans="1: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">
    <mergeCell ref="A1:B1"/>
    <mergeCell ref="A2:B2"/>
    <mergeCell ref="A3:B3"/>
    <mergeCell ref="A22:B22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000"/>
  <sheetViews>
    <sheetView workbookViewId="0">
      <selection sqref="A1:G1"/>
    </sheetView>
  </sheetViews>
  <sheetFormatPr baseColWidth="10" defaultColWidth="14.5" defaultRowHeight="15" customHeight="1" x14ac:dyDescent="0.2"/>
  <cols>
    <col min="1" max="1" width="16.33203125" customWidth="1"/>
    <col min="2" max="2" width="9.5" customWidth="1"/>
    <col min="3" max="3" width="8.5" customWidth="1"/>
    <col min="4" max="4" width="7.6640625" customWidth="1"/>
    <col min="5" max="5" width="9.5" customWidth="1"/>
    <col min="6" max="6" width="8.5" customWidth="1"/>
    <col min="7" max="7" width="9.5" customWidth="1"/>
    <col min="8" max="26" width="8.6640625" customWidth="1"/>
  </cols>
  <sheetData>
    <row r="1" spans="1:7" ht="18" x14ac:dyDescent="0.2">
      <c r="A1" s="7" t="s">
        <v>0</v>
      </c>
      <c r="B1" s="8"/>
      <c r="C1" s="8"/>
      <c r="D1" s="8"/>
      <c r="E1" s="8"/>
      <c r="F1" s="8"/>
      <c r="G1" s="8"/>
    </row>
    <row r="2" spans="1:7" ht="18" x14ac:dyDescent="0.2">
      <c r="A2" s="7" t="s">
        <v>169</v>
      </c>
      <c r="B2" s="8"/>
      <c r="C2" s="8"/>
      <c r="D2" s="8"/>
      <c r="E2" s="8"/>
      <c r="F2" s="8"/>
      <c r="G2" s="8"/>
    </row>
    <row r="3" spans="1:7" x14ac:dyDescent="0.2">
      <c r="A3" s="9" t="s">
        <v>2</v>
      </c>
      <c r="B3" s="8"/>
      <c r="C3" s="8"/>
      <c r="D3" s="8"/>
      <c r="E3" s="8"/>
      <c r="F3" s="8"/>
      <c r="G3" s="8"/>
    </row>
    <row r="5" spans="1:7" ht="27" x14ac:dyDescent="0.2">
      <c r="A5" s="1"/>
      <c r="B5" s="2" t="s">
        <v>170</v>
      </c>
      <c r="C5" s="2" t="s">
        <v>171</v>
      </c>
      <c r="D5" s="2" t="s">
        <v>172</v>
      </c>
      <c r="E5" s="2" t="s">
        <v>173</v>
      </c>
      <c r="F5" s="2" t="s">
        <v>174</v>
      </c>
      <c r="G5" s="2" t="s">
        <v>3</v>
      </c>
    </row>
    <row r="6" spans="1:7" x14ac:dyDescent="0.2">
      <c r="A6" s="3"/>
      <c r="B6" s="4"/>
      <c r="C6" s="4"/>
      <c r="D6" s="4"/>
      <c r="E6" s="4"/>
      <c r="F6" s="5">
        <f>0</f>
        <v>0</v>
      </c>
      <c r="G6" s="5">
        <f t="shared" ref="G6:G15" si="0">((((B6)+(C6))+(D6))+(E6))+(F6)</f>
        <v>0</v>
      </c>
    </row>
    <row r="7" spans="1:7" x14ac:dyDescent="0.2">
      <c r="A7" s="3"/>
      <c r="B7" s="4"/>
      <c r="C7" s="4"/>
      <c r="D7" s="4"/>
      <c r="E7" s="4"/>
      <c r="F7" s="5">
        <f>7500</f>
        <v>7500</v>
      </c>
      <c r="G7" s="5">
        <f t="shared" si="0"/>
        <v>7500</v>
      </c>
    </row>
    <row r="8" spans="1:7" x14ac:dyDescent="0.2">
      <c r="A8" s="3"/>
      <c r="B8" s="4"/>
      <c r="C8" s="5">
        <f>1500</f>
        <v>1500</v>
      </c>
      <c r="D8" s="4"/>
      <c r="E8" s="4"/>
      <c r="F8" s="4"/>
      <c r="G8" s="5">
        <f t="shared" si="0"/>
        <v>1500</v>
      </c>
    </row>
    <row r="9" spans="1:7" x14ac:dyDescent="0.2">
      <c r="A9" s="3"/>
      <c r="B9" s="4"/>
      <c r="C9" s="4"/>
      <c r="D9" s="4"/>
      <c r="E9" s="4"/>
      <c r="F9" s="5">
        <f>0</f>
        <v>0</v>
      </c>
      <c r="G9" s="5">
        <f t="shared" si="0"/>
        <v>0</v>
      </c>
    </row>
    <row r="10" spans="1:7" x14ac:dyDescent="0.2">
      <c r="A10" s="3"/>
      <c r="B10" s="5">
        <f>50000</f>
        <v>50000</v>
      </c>
      <c r="C10" s="4"/>
      <c r="D10" s="4"/>
      <c r="E10" s="4"/>
      <c r="F10" s="4"/>
      <c r="G10" s="5">
        <f t="shared" si="0"/>
        <v>50000</v>
      </c>
    </row>
    <row r="11" spans="1:7" x14ac:dyDescent="0.2">
      <c r="A11" s="3"/>
      <c r="B11" s="5">
        <f>12500</f>
        <v>12500</v>
      </c>
      <c r="C11" s="4"/>
      <c r="D11" s="4"/>
      <c r="E11" s="4"/>
      <c r="F11" s="4"/>
      <c r="G11" s="5">
        <f t="shared" si="0"/>
        <v>12500</v>
      </c>
    </row>
    <row r="12" spans="1:7" x14ac:dyDescent="0.2">
      <c r="A12" s="3"/>
      <c r="B12" s="4"/>
      <c r="C12" s="4"/>
      <c r="D12" s="4"/>
      <c r="E12" s="5">
        <f>15000</f>
        <v>15000</v>
      </c>
      <c r="F12" s="4"/>
      <c r="G12" s="5">
        <f t="shared" si="0"/>
        <v>15000</v>
      </c>
    </row>
    <row r="13" spans="1:7" x14ac:dyDescent="0.2">
      <c r="A13" s="3"/>
      <c r="B13" s="5">
        <f>400</f>
        <v>400</v>
      </c>
      <c r="C13" s="4"/>
      <c r="D13" s="4"/>
      <c r="E13" s="4"/>
      <c r="F13" s="4"/>
      <c r="G13" s="5">
        <f t="shared" si="0"/>
        <v>400</v>
      </c>
    </row>
    <row r="14" spans="1:7" x14ac:dyDescent="0.2">
      <c r="A14" s="3"/>
      <c r="B14" s="4"/>
      <c r="C14" s="5">
        <f>400</f>
        <v>400</v>
      </c>
      <c r="D14" s="4"/>
      <c r="E14" s="4"/>
      <c r="F14" s="4"/>
      <c r="G14" s="5">
        <f t="shared" si="0"/>
        <v>400</v>
      </c>
    </row>
    <row r="15" spans="1:7" x14ac:dyDescent="0.2">
      <c r="A15" s="3" t="s">
        <v>175</v>
      </c>
      <c r="B15" s="6">
        <f t="shared" ref="B15:F15" si="1">((((((((B6)+(B7))+(B8))+(B9))+(B10))+(B11))+(B12))+(B13))+(B14)</f>
        <v>62900</v>
      </c>
      <c r="C15" s="6">
        <f t="shared" si="1"/>
        <v>1900</v>
      </c>
      <c r="D15" s="6">
        <f t="shared" si="1"/>
        <v>0</v>
      </c>
      <c r="E15" s="6">
        <f t="shared" si="1"/>
        <v>15000</v>
      </c>
      <c r="F15" s="6">
        <f t="shared" si="1"/>
        <v>7500</v>
      </c>
      <c r="G15" s="6">
        <f t="shared" si="0"/>
        <v>87300</v>
      </c>
    </row>
    <row r="16" spans="1:7" x14ac:dyDescent="0.2">
      <c r="A16" s="3"/>
      <c r="B16" s="4"/>
      <c r="C16" s="4"/>
      <c r="D16" s="4"/>
      <c r="E16" s="4"/>
      <c r="F16" s="4"/>
      <c r="G16" s="4"/>
    </row>
    <row r="19" spans="1:7" x14ac:dyDescent="0.2">
      <c r="A19" s="10" t="s">
        <v>176</v>
      </c>
      <c r="B19" s="8"/>
      <c r="C19" s="8"/>
      <c r="D19" s="8"/>
      <c r="E19" s="8"/>
      <c r="F19" s="8"/>
      <c r="G19" s="8"/>
    </row>
    <row r="21" spans="1:7" ht="15.75" customHeight="1" x14ac:dyDescent="0.2"/>
    <row r="22" spans="1:7" ht="15.75" customHeight="1" x14ac:dyDescent="0.2"/>
    <row r="23" spans="1:7" ht="15.75" customHeight="1" x14ac:dyDescent="0.2"/>
    <row r="24" spans="1:7" ht="15.75" customHeight="1" x14ac:dyDescent="0.2"/>
    <row r="25" spans="1:7" ht="15.75" customHeight="1" x14ac:dyDescent="0.2"/>
    <row r="26" spans="1:7" ht="15.75" customHeight="1" x14ac:dyDescent="0.2"/>
    <row r="27" spans="1:7" ht="15.75" customHeight="1" x14ac:dyDescent="0.2"/>
    <row r="28" spans="1:7" ht="15.75" customHeight="1" x14ac:dyDescent="0.2"/>
    <row r="29" spans="1:7" ht="15.75" customHeight="1" x14ac:dyDescent="0.2"/>
    <row r="30" spans="1:7" ht="15.75" customHeight="1" x14ac:dyDescent="0.2"/>
    <row r="31" spans="1:7" ht="15.75" customHeight="1" x14ac:dyDescent="0.2"/>
    <row r="32" spans="1:7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">
    <mergeCell ref="A1:G1"/>
    <mergeCell ref="A2:G2"/>
    <mergeCell ref="A3:G3"/>
    <mergeCell ref="A19:G19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Balance Sheet</vt:lpstr>
      <vt:lpstr>Balance Sheet Comparison </vt:lpstr>
      <vt:lpstr>Profit and Loss Qtrly</vt:lpstr>
      <vt:lpstr>Profit and Loss Comparison Qtly</vt:lpstr>
      <vt:lpstr>Statement of Cash Flows Qtrly</vt:lpstr>
      <vt:lpstr>A R Aging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Ellen Grove</cp:lastModifiedBy>
  <dcterms:created xsi:type="dcterms:W3CDTF">2022-01-13T22:21:24Z</dcterms:created>
  <dcterms:modified xsi:type="dcterms:W3CDTF">2022-02-01T23:52:03Z</dcterms:modified>
</cp:coreProperties>
</file>